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Работы" sheetId="1" r:id="rId1"/>
    <sheet name="Ресурсы" sheetId="2" r:id="rId2"/>
  </sheets>
  <definedNames>
    <definedName name="_xlnm.Print_Titles" localSheetId="0">Работы!$3:$3</definedName>
    <definedName name="_xlnm.Print_Titles" localSheetId="1">Ресурсы!$3:$3</definedName>
  </definedNames>
  <calcPr calcId="125725"/>
</workbook>
</file>

<file path=xl/calcChain.xml><?xml version="1.0" encoding="utf-8"?>
<calcChain xmlns="http://schemas.openxmlformats.org/spreadsheetml/2006/main">
  <c r="G6" i="1"/>
  <c r="H6"/>
  <c r="I6"/>
  <c r="J6"/>
  <c r="K6"/>
  <c r="L6"/>
  <c r="M6"/>
  <c r="N6" s="1"/>
  <c r="G7"/>
  <c r="H7"/>
  <c r="M7" s="1"/>
  <c r="N7" s="1"/>
  <c r="I7"/>
  <c r="J7"/>
  <c r="K7"/>
  <c r="L7"/>
  <c r="G8"/>
  <c r="H8"/>
  <c r="I8"/>
  <c r="J8"/>
  <c r="K8"/>
  <c r="L8"/>
  <c r="M8"/>
  <c r="N8" s="1"/>
  <c r="G9"/>
  <c r="H9"/>
  <c r="M9" s="1"/>
  <c r="N9" s="1"/>
  <c r="I9"/>
  <c r="J9"/>
  <c r="K9"/>
  <c r="L9"/>
  <c r="G10"/>
  <c r="H10"/>
  <c r="I10"/>
  <c r="J10"/>
  <c r="K10"/>
  <c r="L10"/>
  <c r="M10"/>
  <c r="N10" s="1"/>
  <c r="G11"/>
  <c r="H11"/>
  <c r="M11" s="1"/>
  <c r="N11" s="1"/>
  <c r="I11"/>
  <c r="J11"/>
  <c r="K11"/>
  <c r="L11"/>
  <c r="G12"/>
  <c r="H12"/>
  <c r="I12"/>
  <c r="J12"/>
  <c r="K12"/>
  <c r="L12"/>
  <c r="M12"/>
  <c r="N12" s="1"/>
  <c r="G13"/>
  <c r="H13"/>
  <c r="M13" s="1"/>
  <c r="N13" s="1"/>
  <c r="I13"/>
  <c r="J13"/>
  <c r="K13"/>
  <c r="L13"/>
  <c r="G14"/>
  <c r="H14"/>
  <c r="I14"/>
  <c r="J14"/>
  <c r="K14"/>
  <c r="L14"/>
  <c r="M14"/>
  <c r="N14" s="1"/>
  <c r="G15"/>
  <c r="H15"/>
  <c r="M15" s="1"/>
  <c r="N15" s="1"/>
  <c r="I15"/>
  <c r="J15"/>
  <c r="K15"/>
  <c r="L15"/>
  <c r="G16"/>
  <c r="H16"/>
  <c r="I16"/>
  <c r="J16"/>
  <c r="K16"/>
  <c r="L16"/>
  <c r="M16"/>
  <c r="N16" s="1"/>
  <c r="G17"/>
  <c r="H17"/>
  <c r="M17" s="1"/>
  <c r="N17" s="1"/>
  <c r="I17"/>
  <c r="J17"/>
  <c r="K17"/>
  <c r="L17"/>
  <c r="G18"/>
  <c r="H18"/>
  <c r="I18"/>
  <c r="J18"/>
  <c r="K18"/>
  <c r="L18"/>
  <c r="M18"/>
  <c r="N18" s="1"/>
  <c r="G19"/>
  <c r="H19"/>
  <c r="M19" s="1"/>
  <c r="N19" s="1"/>
  <c r="I19"/>
  <c r="J19"/>
  <c r="K19"/>
  <c r="L19"/>
  <c r="G20"/>
  <c r="H20"/>
  <c r="I20"/>
  <c r="J20"/>
  <c r="K20"/>
  <c r="L20"/>
  <c r="M20"/>
  <c r="N20" s="1"/>
  <c r="G21"/>
  <c r="H21"/>
  <c r="M21" s="1"/>
  <c r="N21" s="1"/>
  <c r="I21"/>
  <c r="J21"/>
  <c r="J22" s="1"/>
  <c r="K21"/>
  <c r="L21"/>
  <c r="H22"/>
  <c r="L22"/>
  <c r="G24"/>
  <c r="H24"/>
  <c r="M24" s="1"/>
  <c r="N24" s="1"/>
  <c r="I24"/>
  <c r="J24"/>
  <c r="K24"/>
  <c r="L24"/>
  <c r="G25"/>
  <c r="H25"/>
  <c r="I25"/>
  <c r="J25"/>
  <c r="K25"/>
  <c r="L25"/>
  <c r="M25"/>
  <c r="N25" s="1"/>
  <c r="G26"/>
  <c r="H26"/>
  <c r="M26" s="1"/>
  <c r="N26" s="1"/>
  <c r="I26"/>
  <c r="J26"/>
  <c r="K26"/>
  <c r="L26"/>
  <c r="G27"/>
  <c r="H27"/>
  <c r="I27"/>
  <c r="J27"/>
  <c r="K27"/>
  <c r="L27"/>
  <c r="M27"/>
  <c r="N27" s="1"/>
  <c r="G28"/>
  <c r="H28"/>
  <c r="M28" s="1"/>
  <c r="N28" s="1"/>
  <c r="I28"/>
  <c r="J28"/>
  <c r="J29" s="1"/>
  <c r="K28"/>
  <c r="L28"/>
  <c r="H29"/>
  <c r="H30" s="1"/>
  <c r="L29"/>
  <c r="L30" s="1"/>
  <c r="G33"/>
  <c r="H33"/>
  <c r="I33"/>
  <c r="J33"/>
  <c r="K33"/>
  <c r="L33"/>
  <c r="M33"/>
  <c r="N33" s="1"/>
  <c r="G34"/>
  <c r="H34"/>
  <c r="M34" s="1"/>
  <c r="I34"/>
  <c r="J34"/>
  <c r="K34"/>
  <c r="L34"/>
  <c r="G35"/>
  <c r="H35"/>
  <c r="I35"/>
  <c r="J35"/>
  <c r="K35"/>
  <c r="L35"/>
  <c r="M35"/>
  <c r="N35" s="1"/>
  <c r="G36"/>
  <c r="H36"/>
  <c r="M36" s="1"/>
  <c r="N36" s="1"/>
  <c r="I36"/>
  <c r="J36"/>
  <c r="K36"/>
  <c r="L36"/>
  <c r="G37"/>
  <c r="H37"/>
  <c r="I37"/>
  <c r="J37"/>
  <c r="K37"/>
  <c r="L37"/>
  <c r="M37"/>
  <c r="N37" s="1"/>
  <c r="G38"/>
  <c r="H38"/>
  <c r="M38" s="1"/>
  <c r="N38" s="1"/>
  <c r="I38"/>
  <c r="J38"/>
  <c r="K38"/>
  <c r="L38"/>
  <c r="G39"/>
  <c r="H39"/>
  <c r="I39"/>
  <c r="J39"/>
  <c r="K39"/>
  <c r="L39"/>
  <c r="M39"/>
  <c r="N39" s="1"/>
  <c r="G40"/>
  <c r="H40"/>
  <c r="M40" s="1"/>
  <c r="N40" s="1"/>
  <c r="I40"/>
  <c r="J40"/>
  <c r="K40"/>
  <c r="L40"/>
  <c r="G41"/>
  <c r="G42" s="1"/>
  <c r="H41"/>
  <c r="I41"/>
  <c r="I42" s="1"/>
  <c r="J41"/>
  <c r="K41"/>
  <c r="K42" s="1"/>
  <c r="L41"/>
  <c r="M41"/>
  <c r="N41" s="1"/>
  <c r="H42"/>
  <c r="J42"/>
  <c r="L42"/>
  <c r="G44"/>
  <c r="H44"/>
  <c r="I44"/>
  <c r="J44"/>
  <c r="K44"/>
  <c r="L44"/>
  <c r="M44"/>
  <c r="N44" s="1"/>
  <c r="G45"/>
  <c r="H45"/>
  <c r="M45" s="1"/>
  <c r="I45"/>
  <c r="J45"/>
  <c r="K45"/>
  <c r="L45"/>
  <c r="G46"/>
  <c r="H46"/>
  <c r="I46"/>
  <c r="J46"/>
  <c r="K46"/>
  <c r="L46"/>
  <c r="M46"/>
  <c r="N46" s="1"/>
  <c r="G47"/>
  <c r="H47"/>
  <c r="M47" s="1"/>
  <c r="N47" s="1"/>
  <c r="I47"/>
  <c r="J47"/>
  <c r="K47"/>
  <c r="L47"/>
  <c r="G48"/>
  <c r="G49" s="1"/>
  <c r="H48"/>
  <c r="I48"/>
  <c r="I49" s="1"/>
  <c r="J48"/>
  <c r="K48"/>
  <c r="K49" s="1"/>
  <c r="L48"/>
  <c r="M48"/>
  <c r="N48" s="1"/>
  <c r="H49"/>
  <c r="J49"/>
  <c r="J50" s="1"/>
  <c r="L49"/>
  <c r="H50"/>
  <c r="L50"/>
  <c r="G53"/>
  <c r="H53"/>
  <c r="M53" s="1"/>
  <c r="N53" s="1"/>
  <c r="I53"/>
  <c r="J53"/>
  <c r="K53"/>
  <c r="L53"/>
  <c r="G54"/>
  <c r="H54"/>
  <c r="I54"/>
  <c r="J54"/>
  <c r="K54"/>
  <c r="L54"/>
  <c r="M54"/>
  <c r="N54" s="1"/>
  <c r="G55"/>
  <c r="H55"/>
  <c r="M55" s="1"/>
  <c r="N55" s="1"/>
  <c r="I55"/>
  <c r="J55"/>
  <c r="K55"/>
  <c r="L55"/>
  <c r="G56"/>
  <c r="H56"/>
  <c r="I56"/>
  <c r="J56"/>
  <c r="K56"/>
  <c r="L56"/>
  <c r="M56"/>
  <c r="N56" s="1"/>
  <c r="G57"/>
  <c r="H57"/>
  <c r="M57" s="1"/>
  <c r="N57" s="1"/>
  <c r="I57"/>
  <c r="J57"/>
  <c r="K57"/>
  <c r="L57"/>
  <c r="G58"/>
  <c r="H58"/>
  <c r="I58"/>
  <c r="J58"/>
  <c r="K58"/>
  <c r="L58"/>
  <c r="M58"/>
  <c r="N58" s="1"/>
  <c r="G59"/>
  <c r="H59"/>
  <c r="M59" s="1"/>
  <c r="N59" s="1"/>
  <c r="I59"/>
  <c r="J59"/>
  <c r="K59"/>
  <c r="L59"/>
  <c r="G60"/>
  <c r="H60"/>
  <c r="I60"/>
  <c r="J60"/>
  <c r="K60"/>
  <c r="L60"/>
  <c r="M60"/>
  <c r="N60" s="1"/>
  <c r="G61"/>
  <c r="H61"/>
  <c r="M61" s="1"/>
  <c r="N61" s="1"/>
  <c r="I61"/>
  <c r="J61"/>
  <c r="J62" s="1"/>
  <c r="J77" s="1"/>
  <c r="K61"/>
  <c r="L61"/>
  <c r="H62"/>
  <c r="L62"/>
  <c r="G64"/>
  <c r="H64"/>
  <c r="M64" s="1"/>
  <c r="I64"/>
  <c r="J64"/>
  <c r="K64"/>
  <c r="L64"/>
  <c r="G65"/>
  <c r="H65"/>
  <c r="I65"/>
  <c r="J65"/>
  <c r="K65"/>
  <c r="L65"/>
  <c r="M65"/>
  <c r="N65" s="1"/>
  <c r="G66"/>
  <c r="H66"/>
  <c r="M66" s="1"/>
  <c r="N66" s="1"/>
  <c r="I66"/>
  <c r="J66"/>
  <c r="K66"/>
  <c r="L66"/>
  <c r="G67"/>
  <c r="H67"/>
  <c r="I67"/>
  <c r="J67"/>
  <c r="K67"/>
  <c r="L67"/>
  <c r="M67"/>
  <c r="N67" s="1"/>
  <c r="G68"/>
  <c r="H68"/>
  <c r="M68" s="1"/>
  <c r="N68" s="1"/>
  <c r="I68"/>
  <c r="J68"/>
  <c r="K68"/>
  <c r="L68"/>
  <c r="G69"/>
  <c r="H69"/>
  <c r="I69"/>
  <c r="J69"/>
  <c r="K69"/>
  <c r="L69"/>
  <c r="M69"/>
  <c r="N69" s="1"/>
  <c r="G70"/>
  <c r="H70"/>
  <c r="M70" s="1"/>
  <c r="N70" s="1"/>
  <c r="I70"/>
  <c r="J70"/>
  <c r="K70"/>
  <c r="L70"/>
  <c r="G71"/>
  <c r="H71"/>
  <c r="I71"/>
  <c r="J71"/>
  <c r="K71"/>
  <c r="L71"/>
  <c r="M71"/>
  <c r="N71" s="1"/>
  <c r="G72"/>
  <c r="H72"/>
  <c r="M72" s="1"/>
  <c r="N72" s="1"/>
  <c r="I72"/>
  <c r="J72"/>
  <c r="K72"/>
  <c r="L72"/>
  <c r="G73"/>
  <c r="H73"/>
  <c r="I73"/>
  <c r="J73"/>
  <c r="K73"/>
  <c r="L73"/>
  <c r="M73"/>
  <c r="N73" s="1"/>
  <c r="G74"/>
  <c r="H74"/>
  <c r="M74" s="1"/>
  <c r="N74" s="1"/>
  <c r="I74"/>
  <c r="J74"/>
  <c r="K74"/>
  <c r="L74"/>
  <c r="G75"/>
  <c r="G76" s="1"/>
  <c r="H75"/>
  <c r="I75"/>
  <c r="I76" s="1"/>
  <c r="J75"/>
  <c r="K75"/>
  <c r="K76" s="1"/>
  <c r="L75"/>
  <c r="M75"/>
  <c r="N75" s="1"/>
  <c r="H76"/>
  <c r="J76"/>
  <c r="L76"/>
  <c r="H77"/>
  <c r="L77"/>
  <c r="G80"/>
  <c r="H80"/>
  <c r="M80" s="1"/>
  <c r="I80"/>
  <c r="J80"/>
  <c r="K80"/>
  <c r="L80"/>
  <c r="G81"/>
  <c r="H81"/>
  <c r="I81"/>
  <c r="J81"/>
  <c r="K81"/>
  <c r="L81"/>
  <c r="M81"/>
  <c r="N81" s="1"/>
  <c r="G82"/>
  <c r="H82"/>
  <c r="M82" s="1"/>
  <c r="N82" s="1"/>
  <c r="I82"/>
  <c r="J82"/>
  <c r="K82"/>
  <c r="L82"/>
  <c r="G83"/>
  <c r="H83"/>
  <c r="I83"/>
  <c r="J83"/>
  <c r="K83"/>
  <c r="L83"/>
  <c r="M83"/>
  <c r="N83" s="1"/>
  <c r="G84"/>
  <c r="H84"/>
  <c r="M84" s="1"/>
  <c r="N84" s="1"/>
  <c r="I84"/>
  <c r="J84"/>
  <c r="K84"/>
  <c r="L84"/>
  <c r="G85"/>
  <c r="H85"/>
  <c r="I85"/>
  <c r="J85"/>
  <c r="K85"/>
  <c r="L85"/>
  <c r="M85"/>
  <c r="N85" s="1"/>
  <c r="G86"/>
  <c r="H86"/>
  <c r="M86" s="1"/>
  <c r="N86" s="1"/>
  <c r="I86"/>
  <c r="J86"/>
  <c r="K86"/>
  <c r="L86"/>
  <c r="G87"/>
  <c r="H87"/>
  <c r="I87"/>
  <c r="J87"/>
  <c r="K87"/>
  <c r="L87"/>
  <c r="M87"/>
  <c r="N87" s="1"/>
  <c r="G88"/>
  <c r="H88"/>
  <c r="M88" s="1"/>
  <c r="N88" s="1"/>
  <c r="I88"/>
  <c r="J88"/>
  <c r="K88"/>
  <c r="L88"/>
  <c r="G89"/>
  <c r="H89"/>
  <c r="I89"/>
  <c r="J89"/>
  <c r="K89"/>
  <c r="L89"/>
  <c r="M89"/>
  <c r="N89" s="1"/>
  <c r="G90"/>
  <c r="H90"/>
  <c r="M90" s="1"/>
  <c r="N90" s="1"/>
  <c r="I90"/>
  <c r="J90"/>
  <c r="K90"/>
  <c r="L90"/>
  <c r="G91"/>
  <c r="H91"/>
  <c r="I91"/>
  <c r="J91"/>
  <c r="K91"/>
  <c r="L91"/>
  <c r="M91"/>
  <c r="N91" s="1"/>
  <c r="G92"/>
  <c r="H92"/>
  <c r="M92" s="1"/>
  <c r="N92" s="1"/>
  <c r="I92"/>
  <c r="J92"/>
  <c r="K92"/>
  <c r="L92"/>
  <c r="G93"/>
  <c r="H93"/>
  <c r="I93"/>
  <c r="J93"/>
  <c r="K93"/>
  <c r="L93"/>
  <c r="M93"/>
  <c r="N93" s="1"/>
  <c r="G94"/>
  <c r="H94"/>
  <c r="M94" s="1"/>
  <c r="N94" s="1"/>
  <c r="I94"/>
  <c r="J94"/>
  <c r="K94"/>
  <c r="L94"/>
  <c r="G95"/>
  <c r="H95"/>
  <c r="I95"/>
  <c r="J95"/>
  <c r="K95"/>
  <c r="L95"/>
  <c r="M95"/>
  <c r="N95" s="1"/>
  <c r="G96"/>
  <c r="H96"/>
  <c r="M96" s="1"/>
  <c r="N96" s="1"/>
  <c r="I96"/>
  <c r="J96"/>
  <c r="K96"/>
  <c r="L96"/>
  <c r="G97"/>
  <c r="H97"/>
  <c r="I97"/>
  <c r="J97"/>
  <c r="K97"/>
  <c r="L97"/>
  <c r="M97"/>
  <c r="N97" s="1"/>
  <c r="G98"/>
  <c r="H98"/>
  <c r="M98" s="1"/>
  <c r="N98" s="1"/>
  <c r="I98"/>
  <c r="J98"/>
  <c r="K98"/>
  <c r="L98"/>
  <c r="G99"/>
  <c r="H99"/>
  <c r="I99"/>
  <c r="J99"/>
  <c r="K99"/>
  <c r="L99"/>
  <c r="M99"/>
  <c r="N99" s="1"/>
  <c r="G100"/>
  <c r="H100"/>
  <c r="M100" s="1"/>
  <c r="N100" s="1"/>
  <c r="I100"/>
  <c r="J100"/>
  <c r="K100"/>
  <c r="L100"/>
  <c r="G101"/>
  <c r="H101"/>
  <c r="I101"/>
  <c r="J101"/>
  <c r="K101"/>
  <c r="L101"/>
  <c r="M101"/>
  <c r="N101" s="1"/>
  <c r="G102"/>
  <c r="H102"/>
  <c r="M102" s="1"/>
  <c r="N102" s="1"/>
  <c r="I102"/>
  <c r="J102"/>
  <c r="K102"/>
  <c r="L102"/>
  <c r="G103"/>
  <c r="H103"/>
  <c r="I103"/>
  <c r="J103"/>
  <c r="K103"/>
  <c r="L103"/>
  <c r="M103"/>
  <c r="N103" s="1"/>
  <c r="G104"/>
  <c r="H104"/>
  <c r="M104" s="1"/>
  <c r="N104" s="1"/>
  <c r="I104"/>
  <c r="J104"/>
  <c r="K104"/>
  <c r="L104"/>
  <c r="G105"/>
  <c r="G108" s="1"/>
  <c r="H105"/>
  <c r="I105"/>
  <c r="I108" s="1"/>
  <c r="J105"/>
  <c r="K105"/>
  <c r="K108" s="1"/>
  <c r="L105"/>
  <c r="M105"/>
  <c r="N105" s="1"/>
  <c r="G106"/>
  <c r="H106"/>
  <c r="M106" s="1"/>
  <c r="N106" s="1"/>
  <c r="I106"/>
  <c r="J106"/>
  <c r="K106"/>
  <c r="L106"/>
  <c r="G107"/>
  <c r="H107"/>
  <c r="I107"/>
  <c r="J107"/>
  <c r="K107"/>
  <c r="L107"/>
  <c r="M107"/>
  <c r="N107" s="1"/>
  <c r="H108"/>
  <c r="J108"/>
  <c r="L108"/>
  <c r="G110"/>
  <c r="H110"/>
  <c r="I110"/>
  <c r="J110"/>
  <c r="K110"/>
  <c r="L110"/>
  <c r="M110"/>
  <c r="N110" s="1"/>
  <c r="G111"/>
  <c r="H111"/>
  <c r="M111" s="1"/>
  <c r="I111"/>
  <c r="J111"/>
  <c r="K111"/>
  <c r="L111"/>
  <c r="G112"/>
  <c r="H112"/>
  <c r="I112"/>
  <c r="J112"/>
  <c r="K112"/>
  <c r="L112"/>
  <c r="M112"/>
  <c r="N112" s="1"/>
  <c r="G113"/>
  <c r="H113"/>
  <c r="M113" s="1"/>
  <c r="N113" s="1"/>
  <c r="I113"/>
  <c r="J113"/>
  <c r="K113"/>
  <c r="L113"/>
  <c r="G114"/>
  <c r="H114"/>
  <c r="I114"/>
  <c r="J114"/>
  <c r="K114"/>
  <c r="L114"/>
  <c r="M114"/>
  <c r="N114" s="1"/>
  <c r="G115"/>
  <c r="H115"/>
  <c r="M115" s="1"/>
  <c r="N115" s="1"/>
  <c r="I115"/>
  <c r="J115"/>
  <c r="K115"/>
  <c r="L115"/>
  <c r="G116"/>
  <c r="H116"/>
  <c r="I116"/>
  <c r="J116"/>
  <c r="K116"/>
  <c r="L116"/>
  <c r="M116"/>
  <c r="N116" s="1"/>
  <c r="G117"/>
  <c r="H117"/>
  <c r="M117" s="1"/>
  <c r="N117" s="1"/>
  <c r="I117"/>
  <c r="J117"/>
  <c r="K117"/>
  <c r="L117"/>
  <c r="G118"/>
  <c r="G123" s="1"/>
  <c r="H118"/>
  <c r="I118"/>
  <c r="I123" s="1"/>
  <c r="J118"/>
  <c r="K118"/>
  <c r="K123" s="1"/>
  <c r="L118"/>
  <c r="M118"/>
  <c r="N118" s="1"/>
  <c r="G119"/>
  <c r="H119"/>
  <c r="M119" s="1"/>
  <c r="N119" s="1"/>
  <c r="I119"/>
  <c r="J119"/>
  <c r="K119"/>
  <c r="L119"/>
  <c r="G120"/>
  <c r="H120"/>
  <c r="I120"/>
  <c r="J120"/>
  <c r="K120"/>
  <c r="L120"/>
  <c r="M120"/>
  <c r="N120" s="1"/>
  <c r="G121"/>
  <c r="H121"/>
  <c r="M121" s="1"/>
  <c r="N121" s="1"/>
  <c r="I121"/>
  <c r="J121"/>
  <c r="K121"/>
  <c r="L121"/>
  <c r="G122"/>
  <c r="H122"/>
  <c r="I122"/>
  <c r="J122"/>
  <c r="K122"/>
  <c r="L122"/>
  <c r="M122"/>
  <c r="N122" s="1"/>
  <c r="H123"/>
  <c r="J123"/>
  <c r="J124" s="1"/>
  <c r="L123"/>
  <c r="H124"/>
  <c r="L124"/>
  <c r="G127"/>
  <c r="H127"/>
  <c r="M127" s="1"/>
  <c r="I127"/>
  <c r="J127"/>
  <c r="K127"/>
  <c r="L127"/>
  <c r="G128"/>
  <c r="H128"/>
  <c r="I128"/>
  <c r="J128"/>
  <c r="K128"/>
  <c r="L128"/>
  <c r="M128"/>
  <c r="N128" s="1"/>
  <c r="G129"/>
  <c r="H129"/>
  <c r="M129" s="1"/>
  <c r="N129" s="1"/>
  <c r="I129"/>
  <c r="J129"/>
  <c r="K129"/>
  <c r="L129"/>
  <c r="G130"/>
  <c r="H130"/>
  <c r="I130"/>
  <c r="J130"/>
  <c r="K130"/>
  <c r="L130"/>
  <c r="M130"/>
  <c r="N130" s="1"/>
  <c r="G131"/>
  <c r="H131"/>
  <c r="M131" s="1"/>
  <c r="N131" s="1"/>
  <c r="I131"/>
  <c r="J131"/>
  <c r="K131"/>
  <c r="L131"/>
  <c r="G132"/>
  <c r="H132"/>
  <c r="I132"/>
  <c r="J132"/>
  <c r="K132"/>
  <c r="L132"/>
  <c r="M132"/>
  <c r="N132" s="1"/>
  <c r="G133"/>
  <c r="H133"/>
  <c r="M133" s="1"/>
  <c r="N133" s="1"/>
  <c r="I133"/>
  <c r="J133"/>
  <c r="K133"/>
  <c r="L133"/>
  <c r="G134"/>
  <c r="H134"/>
  <c r="I134"/>
  <c r="J134"/>
  <c r="K134"/>
  <c r="L134"/>
  <c r="M134"/>
  <c r="N134" s="1"/>
  <c r="G135"/>
  <c r="H135"/>
  <c r="M135" s="1"/>
  <c r="N135" s="1"/>
  <c r="I135"/>
  <c r="J135"/>
  <c r="K135"/>
  <c r="L135"/>
  <c r="G136"/>
  <c r="H136"/>
  <c r="I136"/>
  <c r="J136"/>
  <c r="K136"/>
  <c r="L136"/>
  <c r="M136"/>
  <c r="N136" s="1"/>
  <c r="G137"/>
  <c r="H137"/>
  <c r="M137" s="1"/>
  <c r="N137" s="1"/>
  <c r="I137"/>
  <c r="J137"/>
  <c r="K137"/>
  <c r="L137"/>
  <c r="G138"/>
  <c r="H138"/>
  <c r="I138"/>
  <c r="J138"/>
  <c r="K138"/>
  <c r="L138"/>
  <c r="M138"/>
  <c r="N138" s="1"/>
  <c r="G139"/>
  <c r="H139"/>
  <c r="M139" s="1"/>
  <c r="N139" s="1"/>
  <c r="I139"/>
  <c r="J139"/>
  <c r="K139"/>
  <c r="L139"/>
  <c r="G140"/>
  <c r="H140"/>
  <c r="I140"/>
  <c r="J140"/>
  <c r="K140"/>
  <c r="L140"/>
  <c r="M140"/>
  <c r="N140" s="1"/>
  <c r="G141"/>
  <c r="H141"/>
  <c r="M141" s="1"/>
  <c r="N141" s="1"/>
  <c r="I141"/>
  <c r="J141"/>
  <c r="K141"/>
  <c r="L141"/>
  <c r="G142"/>
  <c r="H142"/>
  <c r="I142"/>
  <c r="J142"/>
  <c r="K142"/>
  <c r="L142"/>
  <c r="M142"/>
  <c r="N142" s="1"/>
  <c r="G143"/>
  <c r="H143"/>
  <c r="M143" s="1"/>
  <c r="N143" s="1"/>
  <c r="I143"/>
  <c r="J143"/>
  <c r="K143"/>
  <c r="L143"/>
  <c r="G144"/>
  <c r="H144"/>
  <c r="I144"/>
  <c r="J144"/>
  <c r="K144"/>
  <c r="L144"/>
  <c r="M144"/>
  <c r="N144" s="1"/>
  <c r="G145"/>
  <c r="H145"/>
  <c r="M145" s="1"/>
  <c r="N145" s="1"/>
  <c r="I145"/>
  <c r="J145"/>
  <c r="K145"/>
  <c r="L145"/>
  <c r="G146"/>
  <c r="H146"/>
  <c r="I146"/>
  <c r="J146"/>
  <c r="K146"/>
  <c r="L146"/>
  <c r="M146"/>
  <c r="N146" s="1"/>
  <c r="G147"/>
  <c r="H147"/>
  <c r="M147" s="1"/>
  <c r="N147" s="1"/>
  <c r="I147"/>
  <c r="J147"/>
  <c r="K147"/>
  <c r="L147"/>
  <c r="G148"/>
  <c r="H148"/>
  <c r="I148"/>
  <c r="J148"/>
  <c r="K148"/>
  <c r="L148"/>
  <c r="M148"/>
  <c r="N148" s="1"/>
  <c r="G149"/>
  <c r="H149"/>
  <c r="M149" s="1"/>
  <c r="N149" s="1"/>
  <c r="I149"/>
  <c r="J149"/>
  <c r="K149"/>
  <c r="L149"/>
  <c r="G150"/>
  <c r="H150"/>
  <c r="I150"/>
  <c r="J150"/>
  <c r="K150"/>
  <c r="L150"/>
  <c r="M150"/>
  <c r="N150" s="1"/>
  <c r="G151"/>
  <c r="H151"/>
  <c r="M151" s="1"/>
  <c r="N151" s="1"/>
  <c r="I151"/>
  <c r="J151"/>
  <c r="K151"/>
  <c r="L151"/>
  <c r="G152"/>
  <c r="G161" s="1"/>
  <c r="H152"/>
  <c r="I152"/>
  <c r="I161" s="1"/>
  <c r="J152"/>
  <c r="K152"/>
  <c r="K161" s="1"/>
  <c r="L152"/>
  <c r="M152"/>
  <c r="N152" s="1"/>
  <c r="G153"/>
  <c r="H153"/>
  <c r="M153" s="1"/>
  <c r="N153" s="1"/>
  <c r="I153"/>
  <c r="J153"/>
  <c r="K153"/>
  <c r="L153"/>
  <c r="G154"/>
  <c r="H154"/>
  <c r="I154"/>
  <c r="J154"/>
  <c r="K154"/>
  <c r="L154"/>
  <c r="M154"/>
  <c r="N154" s="1"/>
  <c r="G155"/>
  <c r="H155"/>
  <c r="M155" s="1"/>
  <c r="N155" s="1"/>
  <c r="I155"/>
  <c r="J155"/>
  <c r="K155"/>
  <c r="L155"/>
  <c r="G156"/>
  <c r="H156"/>
  <c r="I156"/>
  <c r="J156"/>
  <c r="K156"/>
  <c r="L156"/>
  <c r="M156"/>
  <c r="N156" s="1"/>
  <c r="G157"/>
  <c r="H157"/>
  <c r="M157" s="1"/>
  <c r="N157" s="1"/>
  <c r="I157"/>
  <c r="J157"/>
  <c r="K157"/>
  <c r="L157"/>
  <c r="G158"/>
  <c r="H158"/>
  <c r="I158"/>
  <c r="J158"/>
  <c r="K158"/>
  <c r="L158"/>
  <c r="M158"/>
  <c r="N158" s="1"/>
  <c r="G159"/>
  <c r="H159"/>
  <c r="M159" s="1"/>
  <c r="N159" s="1"/>
  <c r="I159"/>
  <c r="J159"/>
  <c r="K159"/>
  <c r="L159"/>
  <c r="G160"/>
  <c r="H160"/>
  <c r="I160"/>
  <c r="J160"/>
  <c r="K160"/>
  <c r="L160"/>
  <c r="M160"/>
  <c r="N160" s="1"/>
  <c r="H161"/>
  <c r="J161"/>
  <c r="L161"/>
  <c r="G163"/>
  <c r="G174" s="1"/>
  <c r="G175" s="1"/>
  <c r="H163"/>
  <c r="I163"/>
  <c r="I174" s="1"/>
  <c r="I175" s="1"/>
  <c r="J163"/>
  <c r="K163"/>
  <c r="K174" s="1"/>
  <c r="K175" s="1"/>
  <c r="L163"/>
  <c r="M163"/>
  <c r="N163" s="1"/>
  <c r="G164"/>
  <c r="H164"/>
  <c r="M164" s="1"/>
  <c r="N164" s="1"/>
  <c r="I164"/>
  <c r="J164"/>
  <c r="K164"/>
  <c r="L164"/>
  <c r="G165"/>
  <c r="H165"/>
  <c r="I165"/>
  <c r="J165"/>
  <c r="K165"/>
  <c r="L165"/>
  <c r="M165"/>
  <c r="N165" s="1"/>
  <c r="G166"/>
  <c r="H166"/>
  <c r="M166" s="1"/>
  <c r="N166" s="1"/>
  <c r="I166"/>
  <c r="J166"/>
  <c r="K166"/>
  <c r="L166"/>
  <c r="G167"/>
  <c r="H167"/>
  <c r="I167"/>
  <c r="J167"/>
  <c r="K167"/>
  <c r="L167"/>
  <c r="M167"/>
  <c r="N167" s="1"/>
  <c r="G168"/>
  <c r="H168"/>
  <c r="M168" s="1"/>
  <c r="N168" s="1"/>
  <c r="I168"/>
  <c r="J168"/>
  <c r="K168"/>
  <c r="L168"/>
  <c r="G169"/>
  <c r="H169"/>
  <c r="I169"/>
  <c r="J169"/>
  <c r="K169"/>
  <c r="L169"/>
  <c r="M169"/>
  <c r="N169" s="1"/>
  <c r="G170"/>
  <c r="H170"/>
  <c r="M170" s="1"/>
  <c r="N170" s="1"/>
  <c r="I170"/>
  <c r="J170"/>
  <c r="K170"/>
  <c r="L170"/>
  <c r="G171"/>
  <c r="H171"/>
  <c r="I171"/>
  <c r="J171"/>
  <c r="K171"/>
  <c r="L171"/>
  <c r="M171"/>
  <c r="N171" s="1"/>
  <c r="G172"/>
  <c r="H172"/>
  <c r="M172" s="1"/>
  <c r="N172" s="1"/>
  <c r="I172"/>
  <c r="J172"/>
  <c r="K172"/>
  <c r="L172"/>
  <c r="G173"/>
  <c r="H173"/>
  <c r="I173"/>
  <c r="J173"/>
  <c r="K173"/>
  <c r="L173"/>
  <c r="M173"/>
  <c r="N173" s="1"/>
  <c r="H174"/>
  <c r="J174"/>
  <c r="J175" s="1"/>
  <c r="L174"/>
  <c r="H175"/>
  <c r="L175"/>
  <c r="G178"/>
  <c r="H178"/>
  <c r="M178" s="1"/>
  <c r="I178"/>
  <c r="J178"/>
  <c r="K178"/>
  <c r="L178"/>
  <c r="G179"/>
  <c r="H179"/>
  <c r="I179"/>
  <c r="J179"/>
  <c r="K179"/>
  <c r="L179"/>
  <c r="M179"/>
  <c r="N179" s="1"/>
  <c r="G180"/>
  <c r="H180"/>
  <c r="M180" s="1"/>
  <c r="N180" s="1"/>
  <c r="I180"/>
  <c r="J180"/>
  <c r="K180"/>
  <c r="L180"/>
  <c r="G181"/>
  <c r="H181"/>
  <c r="I181"/>
  <c r="J181"/>
  <c r="K181"/>
  <c r="L181"/>
  <c r="M181"/>
  <c r="N181" s="1"/>
  <c r="G182"/>
  <c r="H182"/>
  <c r="M182" s="1"/>
  <c r="N182" s="1"/>
  <c r="I182"/>
  <c r="J182"/>
  <c r="K182"/>
  <c r="L182"/>
  <c r="G183"/>
  <c r="H183"/>
  <c r="I183"/>
  <c r="J183"/>
  <c r="K183"/>
  <c r="L183"/>
  <c r="M183"/>
  <c r="N183" s="1"/>
  <c r="G184"/>
  <c r="H184"/>
  <c r="M184" s="1"/>
  <c r="N184" s="1"/>
  <c r="I184"/>
  <c r="J184"/>
  <c r="K184"/>
  <c r="L184"/>
  <c r="G185"/>
  <c r="H185"/>
  <c r="I185"/>
  <c r="J185"/>
  <c r="K185"/>
  <c r="L185"/>
  <c r="M185"/>
  <c r="N185" s="1"/>
  <c r="G186"/>
  <c r="H186"/>
  <c r="M186" s="1"/>
  <c r="N186" s="1"/>
  <c r="I186"/>
  <c r="J186"/>
  <c r="K186"/>
  <c r="L186"/>
  <c r="G187"/>
  <c r="H187"/>
  <c r="I187"/>
  <c r="J187"/>
  <c r="K187"/>
  <c r="L187"/>
  <c r="M187"/>
  <c r="N187" s="1"/>
  <c r="G188"/>
  <c r="H188"/>
  <c r="M188" s="1"/>
  <c r="N188" s="1"/>
  <c r="I188"/>
  <c r="J188"/>
  <c r="K188"/>
  <c r="L188"/>
  <c r="G189"/>
  <c r="H189"/>
  <c r="I189"/>
  <c r="J189"/>
  <c r="K189"/>
  <c r="L189"/>
  <c r="M189"/>
  <c r="N189" s="1"/>
  <c r="G190"/>
  <c r="H190"/>
  <c r="M190" s="1"/>
  <c r="N190" s="1"/>
  <c r="I190"/>
  <c r="J190"/>
  <c r="K190"/>
  <c r="L190"/>
  <c r="G191"/>
  <c r="H191"/>
  <c r="I191"/>
  <c r="J191"/>
  <c r="K191"/>
  <c r="L191"/>
  <c r="M191"/>
  <c r="N191" s="1"/>
  <c r="G192"/>
  <c r="H192"/>
  <c r="M192" s="1"/>
  <c r="N192" s="1"/>
  <c r="I192"/>
  <c r="J192"/>
  <c r="K192"/>
  <c r="L192"/>
  <c r="G193"/>
  <c r="H193"/>
  <c r="I193"/>
  <c r="J193"/>
  <c r="K193"/>
  <c r="L193"/>
  <c r="M193"/>
  <c r="N193" s="1"/>
  <c r="G194"/>
  <c r="H194"/>
  <c r="M194" s="1"/>
  <c r="N194" s="1"/>
  <c r="I194"/>
  <c r="J194"/>
  <c r="K194"/>
  <c r="L194"/>
  <c r="G195"/>
  <c r="H195"/>
  <c r="I195"/>
  <c r="J195"/>
  <c r="K195"/>
  <c r="L195"/>
  <c r="M195"/>
  <c r="N195" s="1"/>
  <c r="G196"/>
  <c r="H196"/>
  <c r="M196" s="1"/>
  <c r="N196" s="1"/>
  <c r="I196"/>
  <c r="J196"/>
  <c r="K196"/>
  <c r="L196"/>
  <c r="G197"/>
  <c r="G212" s="1"/>
  <c r="H197"/>
  <c r="I197"/>
  <c r="I212" s="1"/>
  <c r="J197"/>
  <c r="K197"/>
  <c r="K212" s="1"/>
  <c r="L197"/>
  <c r="M197"/>
  <c r="N197" s="1"/>
  <c r="G198"/>
  <c r="H198"/>
  <c r="M198" s="1"/>
  <c r="N198" s="1"/>
  <c r="I198"/>
  <c r="J198"/>
  <c r="K198"/>
  <c r="L198"/>
  <c r="G199"/>
  <c r="H199"/>
  <c r="I199"/>
  <c r="J199"/>
  <c r="K199"/>
  <c r="L199"/>
  <c r="M199"/>
  <c r="N199" s="1"/>
  <c r="G200"/>
  <c r="H200"/>
  <c r="M200" s="1"/>
  <c r="N200" s="1"/>
  <c r="I200"/>
  <c r="J200"/>
  <c r="K200"/>
  <c r="L200"/>
  <c r="G201"/>
  <c r="H201"/>
  <c r="I201"/>
  <c r="J201"/>
  <c r="K201"/>
  <c r="L201"/>
  <c r="M201"/>
  <c r="N201" s="1"/>
  <c r="G202"/>
  <c r="H202"/>
  <c r="M202" s="1"/>
  <c r="N202" s="1"/>
  <c r="I202"/>
  <c r="J202"/>
  <c r="K202"/>
  <c r="L202"/>
  <c r="G203"/>
  <c r="H203"/>
  <c r="I203"/>
  <c r="J203"/>
  <c r="K203"/>
  <c r="L203"/>
  <c r="M203"/>
  <c r="N203" s="1"/>
  <c r="G204"/>
  <c r="H204"/>
  <c r="M204" s="1"/>
  <c r="N204" s="1"/>
  <c r="I204"/>
  <c r="J204"/>
  <c r="K204"/>
  <c r="L204"/>
  <c r="G205"/>
  <c r="H205"/>
  <c r="I205"/>
  <c r="J205"/>
  <c r="K205"/>
  <c r="L205"/>
  <c r="M205"/>
  <c r="N205" s="1"/>
  <c r="G206"/>
  <c r="H206"/>
  <c r="M206" s="1"/>
  <c r="N206" s="1"/>
  <c r="I206"/>
  <c r="J206"/>
  <c r="K206"/>
  <c r="L206"/>
  <c r="G207"/>
  <c r="H207"/>
  <c r="I207"/>
  <c r="J207"/>
  <c r="K207"/>
  <c r="L207"/>
  <c r="M207"/>
  <c r="N207" s="1"/>
  <c r="G208"/>
  <c r="H208"/>
  <c r="M208" s="1"/>
  <c r="N208" s="1"/>
  <c r="I208"/>
  <c r="J208"/>
  <c r="K208"/>
  <c r="L208"/>
  <c r="G209"/>
  <c r="H209"/>
  <c r="I209"/>
  <c r="J209"/>
  <c r="K209"/>
  <c r="L209"/>
  <c r="M209"/>
  <c r="N209" s="1"/>
  <c r="G210"/>
  <c r="H210"/>
  <c r="M210" s="1"/>
  <c r="N210" s="1"/>
  <c r="I210"/>
  <c r="J210"/>
  <c r="K210"/>
  <c r="L210"/>
  <c r="G211"/>
  <c r="H211"/>
  <c r="I211"/>
  <c r="J211"/>
  <c r="K211"/>
  <c r="L211"/>
  <c r="M211"/>
  <c r="N211" s="1"/>
  <c r="H212"/>
  <c r="J212"/>
  <c r="J228" s="1"/>
  <c r="L212"/>
  <c r="G214"/>
  <c r="G227" s="1"/>
  <c r="G228" s="1"/>
  <c r="H214"/>
  <c r="I214"/>
  <c r="I227" s="1"/>
  <c r="I228" s="1"/>
  <c r="J214"/>
  <c r="K214"/>
  <c r="K227" s="1"/>
  <c r="K228" s="1"/>
  <c r="L214"/>
  <c r="M214"/>
  <c r="N214" s="1"/>
  <c r="G215"/>
  <c r="H215"/>
  <c r="M215" s="1"/>
  <c r="N215" s="1"/>
  <c r="I215"/>
  <c r="J215"/>
  <c r="K215"/>
  <c r="L215"/>
  <c r="G216"/>
  <c r="H216"/>
  <c r="I216"/>
  <c r="J216"/>
  <c r="K216"/>
  <c r="L216"/>
  <c r="M216"/>
  <c r="N216" s="1"/>
  <c r="G217"/>
  <c r="H217"/>
  <c r="M217" s="1"/>
  <c r="N217" s="1"/>
  <c r="I217"/>
  <c r="J217"/>
  <c r="K217"/>
  <c r="L217"/>
  <c r="G218"/>
  <c r="H218"/>
  <c r="I218"/>
  <c r="J218"/>
  <c r="K218"/>
  <c r="L218"/>
  <c r="M218"/>
  <c r="N218" s="1"/>
  <c r="G219"/>
  <c r="H219"/>
  <c r="M219" s="1"/>
  <c r="N219" s="1"/>
  <c r="I219"/>
  <c r="J219"/>
  <c r="K219"/>
  <c r="L219"/>
  <c r="G220"/>
  <c r="H220"/>
  <c r="I220"/>
  <c r="J220"/>
  <c r="K220"/>
  <c r="L220"/>
  <c r="M220"/>
  <c r="N220" s="1"/>
  <c r="G221"/>
  <c r="H221"/>
  <c r="M221" s="1"/>
  <c r="N221" s="1"/>
  <c r="I221"/>
  <c r="J221"/>
  <c r="K221"/>
  <c r="L221"/>
  <c r="G222"/>
  <c r="H222"/>
  <c r="I222"/>
  <c r="J222"/>
  <c r="K222"/>
  <c r="L222"/>
  <c r="M222"/>
  <c r="N222" s="1"/>
  <c r="G223"/>
  <c r="H223"/>
  <c r="M223" s="1"/>
  <c r="N223" s="1"/>
  <c r="I223"/>
  <c r="J223"/>
  <c r="K223"/>
  <c r="L223"/>
  <c r="G224"/>
  <c r="H224"/>
  <c r="I224"/>
  <c r="J224"/>
  <c r="K224"/>
  <c r="L224"/>
  <c r="M224"/>
  <c r="N224" s="1"/>
  <c r="G225"/>
  <c r="H225"/>
  <c r="M225" s="1"/>
  <c r="N225" s="1"/>
  <c r="I225"/>
  <c r="J225"/>
  <c r="K225"/>
  <c r="L225"/>
  <c r="G226"/>
  <c r="H226"/>
  <c r="I226"/>
  <c r="J226"/>
  <c r="K226"/>
  <c r="L226"/>
  <c r="M226"/>
  <c r="N226" s="1"/>
  <c r="H227"/>
  <c r="J227"/>
  <c r="L227"/>
  <c r="H228"/>
  <c r="L228"/>
  <c r="G231"/>
  <c r="H231"/>
  <c r="M231" s="1"/>
  <c r="I231"/>
  <c r="J231"/>
  <c r="K231"/>
  <c r="L231"/>
  <c r="G232"/>
  <c r="H232"/>
  <c r="I232"/>
  <c r="J232"/>
  <c r="K232"/>
  <c r="L232"/>
  <c r="M232"/>
  <c r="N232" s="1"/>
  <c r="G233"/>
  <c r="H233"/>
  <c r="M233" s="1"/>
  <c r="N233" s="1"/>
  <c r="I233"/>
  <c r="J233"/>
  <c r="K233"/>
  <c r="L233"/>
  <c r="G234"/>
  <c r="H234"/>
  <c r="I234"/>
  <c r="J234"/>
  <c r="K234"/>
  <c r="L234"/>
  <c r="M234"/>
  <c r="N234" s="1"/>
  <c r="G235"/>
  <c r="H235"/>
  <c r="M235" s="1"/>
  <c r="N235" s="1"/>
  <c r="I235"/>
  <c r="J235"/>
  <c r="K235"/>
  <c r="L235"/>
  <c r="G236"/>
  <c r="H236"/>
  <c r="I236"/>
  <c r="J236"/>
  <c r="K236"/>
  <c r="L236"/>
  <c r="M236"/>
  <c r="N236" s="1"/>
  <c r="G237"/>
  <c r="H237"/>
  <c r="M237" s="1"/>
  <c r="N237" s="1"/>
  <c r="I237"/>
  <c r="J237"/>
  <c r="K237"/>
  <c r="L237"/>
  <c r="G238"/>
  <c r="H238"/>
  <c r="I238"/>
  <c r="J238"/>
  <c r="K238"/>
  <c r="L238"/>
  <c r="M238"/>
  <c r="N238" s="1"/>
  <c r="G239"/>
  <c r="H239"/>
  <c r="M239" s="1"/>
  <c r="N239" s="1"/>
  <c r="I239"/>
  <c r="J239"/>
  <c r="K239"/>
  <c r="L239"/>
  <c r="G240"/>
  <c r="H240"/>
  <c r="I240"/>
  <c r="J240"/>
  <c r="K240"/>
  <c r="L240"/>
  <c r="M240"/>
  <c r="N240" s="1"/>
  <c r="G241"/>
  <c r="H241"/>
  <c r="M241" s="1"/>
  <c r="N241" s="1"/>
  <c r="I241"/>
  <c r="J241"/>
  <c r="K241"/>
  <c r="L241"/>
  <c r="G242"/>
  <c r="G259" s="1"/>
  <c r="H242"/>
  <c r="I242"/>
  <c r="I259" s="1"/>
  <c r="J242"/>
  <c r="K242"/>
  <c r="K259" s="1"/>
  <c r="L242"/>
  <c r="M242"/>
  <c r="N242" s="1"/>
  <c r="G243"/>
  <c r="H243"/>
  <c r="M243" s="1"/>
  <c r="N243" s="1"/>
  <c r="I243"/>
  <c r="J243"/>
  <c r="K243"/>
  <c r="L243"/>
  <c r="G244"/>
  <c r="H244"/>
  <c r="I244"/>
  <c r="J244"/>
  <c r="K244"/>
  <c r="L244"/>
  <c r="M244"/>
  <c r="N244" s="1"/>
  <c r="G245"/>
  <c r="H245"/>
  <c r="M245" s="1"/>
  <c r="N245" s="1"/>
  <c r="I245"/>
  <c r="J245"/>
  <c r="K245"/>
  <c r="L245"/>
  <c r="G246"/>
  <c r="H246"/>
  <c r="I246"/>
  <c r="J246"/>
  <c r="K246"/>
  <c r="L246"/>
  <c r="M246"/>
  <c r="N246" s="1"/>
  <c r="G247"/>
  <c r="H247"/>
  <c r="M247" s="1"/>
  <c r="N247" s="1"/>
  <c r="I247"/>
  <c r="J247"/>
  <c r="K247"/>
  <c r="L247"/>
  <c r="G248"/>
  <c r="H248"/>
  <c r="I248"/>
  <c r="J248"/>
  <c r="K248"/>
  <c r="L248"/>
  <c r="M248"/>
  <c r="N248" s="1"/>
  <c r="G249"/>
  <c r="H249"/>
  <c r="M249" s="1"/>
  <c r="N249" s="1"/>
  <c r="I249"/>
  <c r="J249"/>
  <c r="K249"/>
  <c r="L249"/>
  <c r="G250"/>
  <c r="H250"/>
  <c r="I250"/>
  <c r="J250"/>
  <c r="K250"/>
  <c r="L250"/>
  <c r="M250"/>
  <c r="N250" s="1"/>
  <c r="G251"/>
  <c r="H251"/>
  <c r="M251" s="1"/>
  <c r="N251" s="1"/>
  <c r="I251"/>
  <c r="J251"/>
  <c r="K251"/>
  <c r="L251"/>
  <c r="G252"/>
  <c r="H252"/>
  <c r="I252"/>
  <c r="J252"/>
  <c r="K252"/>
  <c r="L252"/>
  <c r="M252"/>
  <c r="N252" s="1"/>
  <c r="G253"/>
  <c r="H253"/>
  <c r="M253" s="1"/>
  <c r="N253" s="1"/>
  <c r="I253"/>
  <c r="J253"/>
  <c r="K253"/>
  <c r="L253"/>
  <c r="G254"/>
  <c r="H254"/>
  <c r="I254"/>
  <c r="J254"/>
  <c r="K254"/>
  <c r="L254"/>
  <c r="M254"/>
  <c r="N254" s="1"/>
  <c r="G255"/>
  <c r="H255"/>
  <c r="M255" s="1"/>
  <c r="N255" s="1"/>
  <c r="I255"/>
  <c r="J255"/>
  <c r="K255"/>
  <c r="L255"/>
  <c r="G256"/>
  <c r="H256"/>
  <c r="I256"/>
  <c r="J256"/>
  <c r="K256"/>
  <c r="L256"/>
  <c r="M256"/>
  <c r="N256" s="1"/>
  <c r="G257"/>
  <c r="H257"/>
  <c r="M257" s="1"/>
  <c r="N257" s="1"/>
  <c r="I257"/>
  <c r="J257"/>
  <c r="K257"/>
  <c r="L257"/>
  <c r="G258"/>
  <c r="H258"/>
  <c r="I258"/>
  <c r="J258"/>
  <c r="K258"/>
  <c r="L258"/>
  <c r="M258"/>
  <c r="N258" s="1"/>
  <c r="H259"/>
  <c r="H272" s="1"/>
  <c r="J259"/>
  <c r="L259"/>
  <c r="L272" s="1"/>
  <c r="G261"/>
  <c r="H261"/>
  <c r="I261"/>
  <c r="J261"/>
  <c r="K261"/>
  <c r="L261"/>
  <c r="M261"/>
  <c r="N261" s="1"/>
  <c r="G262"/>
  <c r="H262"/>
  <c r="M262" s="1"/>
  <c r="N262" s="1"/>
  <c r="I262"/>
  <c r="J262"/>
  <c r="J271" s="1"/>
  <c r="J272" s="1"/>
  <c r="K262"/>
  <c r="L262"/>
  <c r="G263"/>
  <c r="H263"/>
  <c r="I263"/>
  <c r="J263"/>
  <c r="K263"/>
  <c r="L263"/>
  <c r="M263"/>
  <c r="N263" s="1"/>
  <c r="G264"/>
  <c r="H264"/>
  <c r="M264" s="1"/>
  <c r="N264" s="1"/>
  <c r="I264"/>
  <c r="J264"/>
  <c r="K264"/>
  <c r="L264"/>
  <c r="G265"/>
  <c r="H265"/>
  <c r="I265"/>
  <c r="J265"/>
  <c r="K265"/>
  <c r="L265"/>
  <c r="M265"/>
  <c r="N265" s="1"/>
  <c r="G266"/>
  <c r="H266"/>
  <c r="M266" s="1"/>
  <c r="N266" s="1"/>
  <c r="I266"/>
  <c r="J266"/>
  <c r="K266"/>
  <c r="L266"/>
  <c r="G267"/>
  <c r="H267"/>
  <c r="I267"/>
  <c r="J267"/>
  <c r="K267"/>
  <c r="L267"/>
  <c r="M267"/>
  <c r="N267" s="1"/>
  <c r="G268"/>
  <c r="H268"/>
  <c r="M268" s="1"/>
  <c r="N268" s="1"/>
  <c r="I268"/>
  <c r="J268"/>
  <c r="K268"/>
  <c r="L268"/>
  <c r="G269"/>
  <c r="H269"/>
  <c r="I269"/>
  <c r="J269"/>
  <c r="K269"/>
  <c r="L269"/>
  <c r="M269"/>
  <c r="N269" s="1"/>
  <c r="G270"/>
  <c r="H270"/>
  <c r="M270" s="1"/>
  <c r="N270" s="1"/>
  <c r="I270"/>
  <c r="J270"/>
  <c r="K270"/>
  <c r="L270"/>
  <c r="H271"/>
  <c r="L271"/>
  <c r="G275"/>
  <c r="H275"/>
  <c r="I275"/>
  <c r="J275"/>
  <c r="K275"/>
  <c r="L275"/>
  <c r="M275"/>
  <c r="N275" s="1"/>
  <c r="G276"/>
  <c r="H276"/>
  <c r="M276" s="1"/>
  <c r="N276" s="1"/>
  <c r="I276"/>
  <c r="J276"/>
  <c r="J298" s="1"/>
  <c r="J314" s="1"/>
  <c r="K276"/>
  <c r="L276"/>
  <c r="L298" s="1"/>
  <c r="L314" s="1"/>
  <c r="G277"/>
  <c r="H277"/>
  <c r="I277"/>
  <c r="J277"/>
  <c r="K277"/>
  <c r="L277"/>
  <c r="M277"/>
  <c r="N277" s="1"/>
  <c r="G278"/>
  <c r="H278"/>
  <c r="M278" s="1"/>
  <c r="N278" s="1"/>
  <c r="I278"/>
  <c r="J278"/>
  <c r="K278"/>
  <c r="L278"/>
  <c r="G279"/>
  <c r="H279"/>
  <c r="I279"/>
  <c r="J279"/>
  <c r="K279"/>
  <c r="L279"/>
  <c r="M279"/>
  <c r="N279" s="1"/>
  <c r="G280"/>
  <c r="H280"/>
  <c r="M280" s="1"/>
  <c r="N280" s="1"/>
  <c r="I280"/>
  <c r="J280"/>
  <c r="K280"/>
  <c r="L280"/>
  <c r="G281"/>
  <c r="H281"/>
  <c r="I281"/>
  <c r="J281"/>
  <c r="K281"/>
  <c r="L281"/>
  <c r="M281"/>
  <c r="N281" s="1"/>
  <c r="G282"/>
  <c r="H282"/>
  <c r="M282" s="1"/>
  <c r="N282" s="1"/>
  <c r="I282"/>
  <c r="J282"/>
  <c r="K282"/>
  <c r="L282"/>
  <c r="G283"/>
  <c r="H283"/>
  <c r="I283"/>
  <c r="J283"/>
  <c r="K283"/>
  <c r="L283"/>
  <c r="G284"/>
  <c r="H284"/>
  <c r="I284"/>
  <c r="J284"/>
  <c r="K284"/>
  <c r="L284"/>
  <c r="G285"/>
  <c r="H285"/>
  <c r="I285"/>
  <c r="J285"/>
  <c r="K285"/>
  <c r="L285"/>
  <c r="G286"/>
  <c r="H286"/>
  <c r="I286"/>
  <c r="J286"/>
  <c r="K286"/>
  <c r="L286"/>
  <c r="G287"/>
  <c r="H287"/>
  <c r="I287"/>
  <c r="J287"/>
  <c r="K287"/>
  <c r="L287"/>
  <c r="G288"/>
  <c r="H288"/>
  <c r="I288"/>
  <c r="J288"/>
  <c r="K288"/>
  <c r="L288"/>
  <c r="G289"/>
  <c r="H289"/>
  <c r="I289"/>
  <c r="J289"/>
  <c r="K289"/>
  <c r="L289"/>
  <c r="G290"/>
  <c r="H290"/>
  <c r="I290"/>
  <c r="J290"/>
  <c r="K290"/>
  <c r="L290"/>
  <c r="G291"/>
  <c r="H291"/>
  <c r="I291"/>
  <c r="J291"/>
  <c r="K291"/>
  <c r="L291"/>
  <c r="G292"/>
  <c r="H292"/>
  <c r="I292"/>
  <c r="J292"/>
  <c r="K292"/>
  <c r="L292"/>
  <c r="G293"/>
  <c r="H293"/>
  <c r="I293"/>
  <c r="J293"/>
  <c r="K293"/>
  <c r="L293"/>
  <c r="G294"/>
  <c r="H294"/>
  <c r="I294"/>
  <c r="J294"/>
  <c r="K294"/>
  <c r="L294"/>
  <c r="G295"/>
  <c r="H295"/>
  <c r="I295"/>
  <c r="J295"/>
  <c r="K295"/>
  <c r="L295"/>
  <c r="G296"/>
  <c r="H296"/>
  <c r="I296"/>
  <c r="J296"/>
  <c r="K296"/>
  <c r="L296"/>
  <c r="G297"/>
  <c r="H297"/>
  <c r="I297"/>
  <c r="J297"/>
  <c r="K297"/>
  <c r="L297"/>
  <c r="G298"/>
  <c r="I298"/>
  <c r="K298"/>
  <c r="G300"/>
  <c r="H300"/>
  <c r="I300"/>
  <c r="J300"/>
  <c r="K300"/>
  <c r="L300"/>
  <c r="G301"/>
  <c r="H301"/>
  <c r="I301"/>
  <c r="J301"/>
  <c r="K301"/>
  <c r="L301"/>
  <c r="G302"/>
  <c r="H302"/>
  <c r="I302"/>
  <c r="J302"/>
  <c r="K302"/>
  <c r="L302"/>
  <c r="G303"/>
  <c r="H303"/>
  <c r="I303"/>
  <c r="J303"/>
  <c r="K303"/>
  <c r="L303"/>
  <c r="G304"/>
  <c r="H304"/>
  <c r="I304"/>
  <c r="J304"/>
  <c r="K304"/>
  <c r="L304"/>
  <c r="G305"/>
  <c r="H305"/>
  <c r="I305"/>
  <c r="J305"/>
  <c r="K305"/>
  <c r="L305"/>
  <c r="G306"/>
  <c r="H306"/>
  <c r="I306"/>
  <c r="J306"/>
  <c r="K306"/>
  <c r="L306"/>
  <c r="G307"/>
  <c r="H307"/>
  <c r="I307"/>
  <c r="J307"/>
  <c r="K307"/>
  <c r="L307"/>
  <c r="G308"/>
  <c r="H308"/>
  <c r="I308"/>
  <c r="J308"/>
  <c r="K308"/>
  <c r="L308"/>
  <c r="G309"/>
  <c r="H309"/>
  <c r="I309"/>
  <c r="J309"/>
  <c r="K309"/>
  <c r="L309"/>
  <c r="G310"/>
  <c r="H310"/>
  <c r="I310"/>
  <c r="J310"/>
  <c r="K310"/>
  <c r="L310"/>
  <c r="G311"/>
  <c r="H311"/>
  <c r="I311"/>
  <c r="J311"/>
  <c r="K311"/>
  <c r="L311"/>
  <c r="G312"/>
  <c r="H312"/>
  <c r="I312"/>
  <c r="J312"/>
  <c r="K312"/>
  <c r="L312"/>
  <c r="G313"/>
  <c r="H313"/>
  <c r="I313"/>
  <c r="J313"/>
  <c r="K313"/>
  <c r="L313"/>
  <c r="G314"/>
  <c r="I314"/>
  <c r="K314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5"/>
  <c r="G66"/>
  <c r="G67"/>
  <c r="G68"/>
  <c r="G69"/>
  <c r="G70"/>
  <c r="G71"/>
  <c r="G72"/>
  <c r="G73"/>
  <c r="N231" i="1" l="1"/>
  <c r="M259"/>
  <c r="N178"/>
  <c r="N212" s="1"/>
  <c r="N228" s="1"/>
  <c r="M212"/>
  <c r="N111"/>
  <c r="N123" s="1"/>
  <c r="M123"/>
  <c r="N80"/>
  <c r="N108" s="1"/>
  <c r="N124" s="1"/>
  <c r="M108"/>
  <c r="N45"/>
  <c r="N49" s="1"/>
  <c r="M49"/>
  <c r="N34"/>
  <c r="M42"/>
  <c r="M50" s="1"/>
  <c r="K124"/>
  <c r="I124"/>
  <c r="G124"/>
  <c r="K50"/>
  <c r="I50"/>
  <c r="G50"/>
  <c r="N127"/>
  <c r="M161"/>
  <c r="N64"/>
  <c r="M76"/>
  <c r="J321"/>
  <c r="J30"/>
  <c r="J319" s="1"/>
  <c r="G74" i="2"/>
  <c r="G34"/>
  <c r="G63"/>
  <c r="M312" i="1"/>
  <c r="N312" s="1"/>
  <c r="M311"/>
  <c r="N311" s="1"/>
  <c r="M310"/>
  <c r="N310" s="1"/>
  <c r="M309"/>
  <c r="N309" s="1"/>
  <c r="M308"/>
  <c r="N308" s="1"/>
  <c r="M307"/>
  <c r="N307" s="1"/>
  <c r="M306"/>
  <c r="N306" s="1"/>
  <c r="M305"/>
  <c r="N305" s="1"/>
  <c r="M304"/>
  <c r="N304" s="1"/>
  <c r="M303"/>
  <c r="N303" s="1"/>
  <c r="M302"/>
  <c r="N302" s="1"/>
  <c r="M301"/>
  <c r="N301" s="1"/>
  <c r="M300"/>
  <c r="H298"/>
  <c r="H314" s="1"/>
  <c r="E320" s="1"/>
  <c r="M297"/>
  <c r="N297" s="1"/>
  <c r="M296"/>
  <c r="N296" s="1"/>
  <c r="M295"/>
  <c r="N295" s="1"/>
  <c r="M294"/>
  <c r="N294" s="1"/>
  <c r="M293"/>
  <c r="N293" s="1"/>
  <c r="M292"/>
  <c r="N292" s="1"/>
  <c r="M291"/>
  <c r="N291" s="1"/>
  <c r="M290"/>
  <c r="N290" s="1"/>
  <c r="M289"/>
  <c r="N289" s="1"/>
  <c r="M288"/>
  <c r="N288" s="1"/>
  <c r="M287"/>
  <c r="N287" s="1"/>
  <c r="M286"/>
  <c r="N286" s="1"/>
  <c r="M285"/>
  <c r="N285" s="1"/>
  <c r="M284"/>
  <c r="N284" s="1"/>
  <c r="M283"/>
  <c r="K271"/>
  <c r="K272" s="1"/>
  <c r="I271"/>
  <c r="I272" s="1"/>
  <c r="G271"/>
  <c r="G272" s="1"/>
  <c r="M227"/>
  <c r="M228" s="1"/>
  <c r="M174"/>
  <c r="M175" s="1"/>
  <c r="K62"/>
  <c r="K77" s="1"/>
  <c r="I62"/>
  <c r="I77" s="1"/>
  <c r="G62"/>
  <c r="G77" s="1"/>
  <c r="K29"/>
  <c r="I29"/>
  <c r="G29"/>
  <c r="K22"/>
  <c r="I22"/>
  <c r="I30" s="1"/>
  <c r="E321" s="1"/>
  <c r="G22"/>
  <c r="N300"/>
  <c r="N313" s="1"/>
  <c r="N283"/>
  <c r="N298" s="1"/>
  <c r="N314" s="1"/>
  <c r="K30"/>
  <c r="J320" s="1"/>
  <c r="G30"/>
  <c r="E319" s="1"/>
  <c r="M271"/>
  <c r="M272" s="1"/>
  <c r="N271"/>
  <c r="N227"/>
  <c r="N174"/>
  <c r="M62"/>
  <c r="M77" s="1"/>
  <c r="N42"/>
  <c r="M29"/>
  <c r="M22"/>
  <c r="N22"/>
  <c r="N259"/>
  <c r="N272" s="1"/>
  <c r="N161"/>
  <c r="N175" s="1"/>
  <c r="N76"/>
  <c r="N62"/>
  <c r="N29"/>
  <c r="N77" l="1"/>
  <c r="N30"/>
  <c r="M298"/>
  <c r="M313"/>
  <c r="M124"/>
  <c r="M30"/>
  <c r="N50"/>
  <c r="M314" l="1"/>
  <c r="J322" s="1"/>
</calcChain>
</file>

<file path=xl/sharedStrings.xml><?xml version="1.0" encoding="utf-8"?>
<sst xmlns="http://schemas.openxmlformats.org/spreadsheetml/2006/main" count="747" uniqueCount="227">
  <si>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</si>
  <si>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</si>
  <si>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</si>
  <si>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</si>
  <si>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</si>
  <si>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</si>
  <si>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</si>
  <si>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</si>
  <si>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</si>
  <si>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</si>
  <si>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</si>
  <si>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</si>
  <si>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</si>
  <si>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</si>
  <si>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ЛОТ 1 (Жилгородок, д.5, д.7)</t>
  </si>
  <si>
    <t>Общ. площ.,кв.м.</t>
  </si>
  <si>
    <t>Внутридомовое инженерное оборудование и технические устройства</t>
  </si>
  <si>
    <t>Осмотр территории вокруг здания и фундамента</t>
  </si>
  <si>
    <t>1000 кв.м. общей площади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</si>
  <si>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</si>
  <si>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</si>
  <si>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</si>
  <si>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</si>
  <si>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</si>
  <si>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</si>
  <si>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</si>
  <si>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</si>
  <si>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</si>
  <si>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</si>
  <si>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</si>
  <si>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</si>
  <si>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</si>
  <si>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</si>
  <si>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</si>
  <si>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</si>
  <si>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Регулировка и наладка систем отопления</t>
  </si>
  <si>
    <t>1 здание</t>
  </si>
  <si>
    <t>Промывка трубопроводов системы центрального отопления до 50 мм</t>
  </si>
  <si>
    <t>10 м трубопровода (100 м3 здания)</t>
  </si>
  <si>
    <t>Ликвидация воздушных пробок в радиаторном блоке</t>
  </si>
  <si>
    <t>100 радиаторных блоков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</si>
  <si>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</si>
  <si>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не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</si>
  <si>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</si>
  <si>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</si>
  <si>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в летний период  земельного участка без покрытия 3 класса</t>
  </si>
  <si>
    <t>1 000 кв.м. территории</t>
  </si>
  <si>
    <t>Уборка газонов от случайного мусора</t>
  </si>
  <si>
    <t>100 000 м2</t>
  </si>
  <si>
    <t>Сдвижка и подметание снега при отсутствии снегопада на придомовой территории с неусовершенствованным покрытием 3 класса</t>
  </si>
  <si>
    <t>10 000 кв.м. территории</t>
  </si>
  <si>
    <t>Очистка кровли от снега, сбивание сосулек (при толщине слоя до 20 см)</t>
  </si>
  <si>
    <t>100 кв.м. кровли</t>
  </si>
  <si>
    <t>Очистка кровли от мусора, листьев</t>
  </si>
  <si>
    <t>100 кв.м кровли</t>
  </si>
  <si>
    <t>ИТОГО ПО СМЕТЕ:</t>
  </si>
  <si>
    <t>ЛОТ 2 (ул. Ушакова, 9а, 10а)</t>
  </si>
  <si>
    <t>Осмотр кирпичных и железобетонных стен, фасадов</t>
  </si>
  <si>
    <t>ЛОТ 3 (ул. Ушакова, 1а)</t>
  </si>
  <si>
    <t>Устранение аварии на внутридомовых инженерных сетях при сроке эксплуатации многоквартирного дома от 51 до 70 лет</t>
  </si>
  <si>
    <t>1000 м2  общей площади жилых помещений, оборудованных газовыми плитами (в год для одной смены)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</si>
  <si>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</si>
  <si>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</si>
  <si>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Мытье  лестничных площадок и маршей нижних трех этажей (в доме без лифтов и мусоропровода)</t>
  </si>
  <si>
    <t>100 м2  убираемой  площади</t>
  </si>
  <si>
    <t>Протирка пыли  с колпаков  светильников (в подвалах, на чердаках и лестничных клетках)</t>
  </si>
  <si>
    <t>100 шт.</t>
  </si>
  <si>
    <t>Мытье и протирка дверей  в помещениях общего пользования</t>
  </si>
  <si>
    <t>100 м2 дверей</t>
  </si>
  <si>
    <t>Протирка  номерных указателей</t>
  </si>
  <si>
    <t>10 указателей</t>
  </si>
  <si>
    <t>Очистка опрокидывающихся урн от мусора</t>
  </si>
  <si>
    <t>на 100 урн</t>
  </si>
  <si>
    <t>Дератизация чердаков и подвалов с применением готовой приманки типа "Шторм" -  антикоагулянта II поколения</t>
  </si>
  <si>
    <t>1000 м2  обрабатываемых  помещений</t>
  </si>
  <si>
    <t>ЛОТ 4 (6 квартал 4, центральное отопление)</t>
  </si>
  <si>
    <t>Укрепление водосточных труб, колен, воронок с лестниц или подмостей</t>
  </si>
  <si>
    <t>1 ухват</t>
  </si>
  <si>
    <t>Смена стекол на штапиках по замазке</t>
  </si>
  <si>
    <t>100 м фальца</t>
  </si>
  <si>
    <t>Утепление и прочистка дымовентиляционных каналов</t>
  </si>
  <si>
    <t>Осмотр железобетонных перекрытий</t>
  </si>
  <si>
    <t>Осмотр железобетонных покрытий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</si>
  <si>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</si>
  <si>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</si>
  <si>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</si>
  <si>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</si>
  <si>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</si>
  <si>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</si>
  <si>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</si>
  <si>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</si>
  <si>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</si>
  <si>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</si>
  <si>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</si>
  <si>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</si>
  <si>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Рабочая проверка системы в целом при диаметре трубопровода до 50 мм</t>
  </si>
  <si>
    <t>100 м трубопровода</t>
  </si>
  <si>
    <t>Проверка на прогрев отопительных приборов с регулировкой</t>
  </si>
  <si>
    <t>Ликвидация воздушных пробок в стояке системы отопления</t>
  </si>
  <si>
    <t>100 стояков</t>
  </si>
  <si>
    <t>Подметание в летний период  земельного участка с неусовершенствованным покрытием 3 класса</t>
  </si>
  <si>
    <t>Уборка детских и спортивных площадок</t>
  </si>
  <si>
    <t>1000 кв.м.</t>
  </si>
  <si>
    <t>Заполнение песочницы песком</t>
  </si>
  <si>
    <t>песочница</t>
  </si>
  <si>
    <t>Осмотр детских и спортивных площадок</t>
  </si>
  <si>
    <t>1 модуль</t>
  </si>
  <si>
    <t>Очистка от наледи и льда водосточных труб</t>
  </si>
  <si>
    <t>1 шт</t>
  </si>
  <si>
    <t>Очистка кровли от снега, сбивание сосулек (при толщине слоя до 10 см)</t>
  </si>
  <si>
    <t>Уборка крыльца и площадки перед входом в подъезд (в холодный период года)</t>
  </si>
  <si>
    <t>100 кв.м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</si>
  <si>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</si>
  <si>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</si>
  <si>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</si>
  <si>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ЛОТ 5 (Кирова 4а, центральное отопление)</t>
  </si>
  <si>
    <t>Визуальная проверка (осмотр) газового оборудования</t>
  </si>
  <si>
    <t>1 оборудование</t>
  </si>
  <si>
    <t>Проверка герметичности соединений и отключающих устройств</t>
  </si>
  <si>
    <t>1 соединение</t>
  </si>
  <si>
    <t>Разборка и смазка кранов</t>
  </si>
  <si>
    <t>1 кран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</si>
  <si>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их наладка и регулировка</t>
  </si>
  <si>
    <t>1 устройство</t>
  </si>
  <si>
    <t>Инструктаж потребителей газа по безопасному использованию газа при удовлетворении коммунально-бытовых нужд</t>
  </si>
  <si>
    <t>1 квартира</t>
  </si>
  <si>
    <t>Осмотр всех элементов кровель из штучных материалов, водостоков</t>
  </si>
  <si>
    <t>Сдвижка и подметание снега при отсутствии снегопада на придомовой территории без покрытия 3 класса</t>
  </si>
  <si>
    <t>Уборка крыльца и площадки перед входом в подъезд (в теплый период года)</t>
  </si>
  <si>
    <t>Дезинсекция  подвалов</t>
  </si>
  <si>
    <t>ЛОТ 6 (Мира 2, центральное отопление)</t>
  </si>
  <si>
    <t>Прочистка и промывка отопительных приборов радиаторов весом до 80 кг внутри здания</t>
  </si>
  <si>
    <t>100 приборов</t>
  </si>
  <si>
    <t>ЛОТ 7 (Чкалова 9, центральное отопление)</t>
  </si>
  <si>
    <t>ЛОТ 8 (Юбилейная 22, автономное отопление)</t>
  </si>
  <si>
    <t>Устранение аварии на внутридомовых инженерных сетях при сроке эксплуатации многоквартирного дома более 70 лет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</si>
  <si>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</si>
  <si>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</si>
  <si>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</si>
  <si>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</si>
  <si>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</si>
  <si>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</si>
  <si>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</si>
  <si>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</si>
  <si>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</si>
  <si>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</si>
  <si>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</si>
  <si>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</si>
  <si>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</si>
  <si>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</si>
  <si>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</si>
  <si>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</si>
  <si>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Дезинфектор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</si>
  <si>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</si>
  <si>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</si>
  <si>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</si>
  <si>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</si>
  <si>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</si>
  <si>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</si>
  <si>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Плотник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</si>
  <si>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</si>
  <si>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</si>
  <si>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</si>
  <si>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</si>
  <si>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</si>
  <si>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</si>
  <si>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</si>
  <si>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</si>
  <si>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</si>
  <si>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</si>
  <si>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</si>
  <si>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</si>
  <si>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</si>
  <si>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</si>
  <si>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Столяр строительный 4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</si>
  <si>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</si>
  <si>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</si>
  <si>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</si>
  <si>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</si>
  <si>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</si>
  <si>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</si>
  <si>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</si>
  <si>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Болты с гайками и шайбами для санитарно-технических работ, диаметром 16 мм</t>
  </si>
  <si>
    <t>т</t>
  </si>
  <si>
    <t>Вода водопроводная</t>
  </si>
  <si>
    <t>м3</t>
  </si>
  <si>
    <t>Войлок строительный толщиной 15 мм</t>
  </si>
  <si>
    <t>м2</t>
  </si>
  <si>
    <t>Готовая приманка</t>
  </si>
  <si>
    <t>кг</t>
  </si>
  <si>
    <t>Готовая смесь для уничтожения насекомых (порошок Абсолют Дуст)</t>
  </si>
  <si>
    <t>Замазка белильная</t>
  </si>
  <si>
    <t>Замазка защитная</t>
  </si>
  <si>
    <t>Замазка оконная на олифе</t>
  </si>
  <si>
    <t>Краски масляные земляные  МА-0115: мумия, сурик  железный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</si>
  <si>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</si>
  <si>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</si>
  <si>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</si>
  <si>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</si>
  <si>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</si>
  <si>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Олифа комбинированная К-3</t>
  </si>
  <si>
    <t>Очес льняной</t>
  </si>
  <si>
    <t xml:space="preserve">Песок природный для строительных работ средний </t>
  </si>
  <si>
    <t>Пробки деревянные 100 мм, длина 100 мм</t>
  </si>
  <si>
    <t>шт.</t>
  </si>
  <si>
    <t>Проволока светлая диаметром 3,0 мм</t>
  </si>
  <si>
    <t>Проволока стальная низкоуглеродистая разного  назначения оцинкованная диаметром 1,1 мм</t>
  </si>
  <si>
    <t>Раствор готовый кладочный цементный М25</t>
  </si>
  <si>
    <t>Резина листовая вулканизованная цветная</t>
  </si>
  <si>
    <t>Стекло листовое площадью до 1.0 м2, 1 группы, толщиной 3 мм марки М1</t>
  </si>
  <si>
    <t>Ткань мешочная</t>
  </si>
  <si>
    <t>10 м2</t>
  </si>
  <si>
    <t>Ухват (стремена, кронштейн, держатель) для водосточных труб</t>
  </si>
  <si>
    <t>Хомут для крепления траверс окрашенный (применяется вместо п.2)</t>
  </si>
  <si>
    <t>Шпагат бумажный влагопрочный одножильный 3,7 мм</t>
  </si>
  <si>
    <t>Штапики</t>
  </si>
  <si>
    <t>пог. м</t>
  </si>
  <si>
    <t>Специнвентарь</t>
  </si>
  <si>
    <t>Ведро  оцинкованное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</si>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</sst>
</file>

<file path=xl/styles.xml><?xml version="1.0" encoding="utf-8"?>
<styleSheet xmlns="http://schemas.openxmlformats.org/spreadsheetml/2006/main">
  <fonts count="13">
    <font>
      <sz val="9"/>
      <color indexed="8"/>
      <name val="Arial"/>
    </font>
    <font>
      <b/>
      <sz val="18"/>
      <color indexed="10"/>
      <name val="Arial"/>
    </font>
    <font>
      <b/>
      <sz val="10"/>
      <color indexed="9"/>
      <name val="Arial"/>
    </font>
    <font>
      <b/>
      <sz val="14"/>
      <color indexed="12"/>
      <name val="Arial"/>
    </font>
    <font>
      <b/>
      <sz val="11"/>
      <color indexed="13"/>
      <name val="Arial"/>
    </font>
    <font>
      <b/>
      <sz val="11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b/>
      <sz val="14"/>
      <color indexed="13"/>
      <name val="Arial"/>
    </font>
    <font>
      <b/>
      <sz val="18"/>
      <color indexed="17"/>
      <name val="Courier"/>
    </font>
    <font>
      <b/>
      <sz val="10"/>
      <color indexed="9"/>
      <name val="Courier"/>
    </font>
    <font>
      <b/>
      <sz val="12"/>
      <color indexed="17"/>
      <name val="Courier"/>
    </font>
    <font>
      <b/>
      <sz val="9"/>
      <color indexed="17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8"/>
        <bgColor indexed="8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Fill="0" applyAlignment="0" applyProtection="0">
      <alignment horizontal="left" vertical="center" wrapText="1"/>
    </xf>
  </cellStyleXfs>
  <cellXfs count="85"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right" vertical="center" wrapText="1"/>
    </xf>
    <xf numFmtId="4" fontId="0" fillId="0" borderId="8" xfId="0" applyNumberFormat="1" applyFill="1" applyBorder="1" applyAlignment="1" applyProtection="1">
      <alignment horizontal="right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4" fontId="7" fillId="4" borderId="1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Alignment="1" applyProtection="1">
      <alignment horizontal="right" vertical="center" wrapText="1"/>
    </xf>
    <xf numFmtId="4" fontId="0" fillId="0" borderId="14" xfId="0" applyNumberFormat="1" applyFill="1" applyBorder="1" applyAlignment="1" applyProtection="1">
      <alignment horizontal="right" vertical="center" wrapText="1"/>
    </xf>
    <xf numFmtId="4" fontId="0" fillId="0" borderId="15" xfId="0" applyNumberFormat="1" applyFill="1" applyBorder="1" applyAlignment="1" applyProtection="1">
      <alignment horizontal="right" vertical="center" wrapText="1"/>
    </xf>
    <xf numFmtId="4" fontId="0" fillId="0" borderId="16" xfId="0" applyNumberFormat="1" applyFill="1" applyBorder="1" applyAlignment="1" applyProtection="1">
      <alignment horizontal="right" vertical="center" wrapText="1"/>
    </xf>
    <xf numFmtId="4" fontId="6" fillId="5" borderId="18" xfId="0" applyNumberFormat="1" applyFont="1" applyFill="1" applyBorder="1" applyAlignment="1" applyProtection="1">
      <alignment horizontal="right" vertical="center" wrapText="1"/>
    </xf>
    <xf numFmtId="4" fontId="6" fillId="5" borderId="19" xfId="0" applyNumberFormat="1" applyFont="1" applyFill="1" applyBorder="1" applyAlignment="1" applyProtection="1">
      <alignment horizontal="right" vertical="center" wrapText="1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7" fillId="5" borderId="9" xfId="0" applyNumberFormat="1" applyFont="1" applyFill="1" applyBorder="1" applyAlignment="1" applyProtection="1">
      <alignment horizontal="right" vertical="center" wrapText="1"/>
    </xf>
    <xf numFmtId="4" fontId="7" fillId="5" borderId="15" xfId="0" applyNumberFormat="1" applyFont="1" applyFill="1" applyBorder="1" applyAlignment="1" applyProtection="1">
      <alignment horizontal="right" vertical="center" wrapText="1"/>
    </xf>
    <xf numFmtId="4" fontId="7" fillId="0" borderId="16" xfId="0" applyNumberFormat="1" applyFont="1" applyFill="1" applyBorder="1" applyAlignment="1" applyProtection="1">
      <alignment horizontal="right" vertical="center" wrapText="1"/>
    </xf>
    <xf numFmtId="4" fontId="7" fillId="0" borderId="15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Alignment="1" applyProtection="1">
      <alignment horizontal="left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horizontal="right" vertical="center" wrapText="1"/>
    </xf>
    <xf numFmtId="4" fontId="0" fillId="0" borderId="25" xfId="0" applyNumberFormat="1" applyFill="1" applyBorder="1" applyAlignment="1" applyProtection="1">
      <alignment horizontal="right" vertical="center" wrapText="1"/>
    </xf>
    <xf numFmtId="4" fontId="0" fillId="0" borderId="26" xfId="0" applyNumberFormat="1" applyFill="1" applyBorder="1" applyAlignment="1" applyProtection="1">
      <alignment horizontal="right" vertical="center" wrapText="1"/>
    </xf>
    <xf numFmtId="4" fontId="0" fillId="0" borderId="27" xfId="0" applyNumberFormat="1" applyFill="1" applyBorder="1" applyAlignment="1" applyProtection="1">
      <alignment horizontal="right" vertical="center" wrapText="1"/>
    </xf>
    <xf numFmtId="4" fontId="12" fillId="0" borderId="3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left" vertical="center" wrapText="1"/>
    </xf>
    <xf numFmtId="4" fontId="4" fillId="0" borderId="0" xfId="0" applyNumberFormat="1" applyFont="1" applyFill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4" fontId="5" fillId="3" borderId="6" xfId="0" applyNumberFormat="1" applyFont="1" applyFill="1" applyBorder="1" applyAlignment="1" applyProtection="1">
      <alignment horizontal="left" vertical="center" wrapText="1"/>
    </xf>
    <xf numFmtId="4" fontId="5" fillId="3" borderId="13" xfId="0" applyNumberFormat="1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5" borderId="17" xfId="0" applyFont="1" applyFill="1" applyBorder="1" applyAlignment="1" applyProtection="1">
      <alignment horizontal="right" vertical="center" wrapText="1"/>
    </xf>
    <xf numFmtId="0" fontId="6" fillId="5" borderId="18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4" fontId="7" fillId="3" borderId="9" xfId="0" applyNumberFormat="1" applyFont="1" applyFill="1" applyBorder="1" applyAlignment="1" applyProtection="1">
      <alignment horizontal="right" vertical="center" wrapText="1"/>
    </xf>
    <xf numFmtId="4" fontId="7" fillId="3" borderId="15" xfId="0" applyNumberFormat="1" applyFont="1" applyFill="1" applyBorder="1" applyAlignment="1" applyProtection="1">
      <alignment horizontal="right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right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</xf>
    <xf numFmtId="4" fontId="0" fillId="0" borderId="10" xfId="0" applyNumberFormat="1" applyFill="1" applyBorder="1" applyAlignment="1" applyProtection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center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left" vertical="center" wrapText="1"/>
    </xf>
    <xf numFmtId="4" fontId="4" fillId="0" borderId="0" xfId="0" applyNumberFormat="1" applyFont="1" applyFill="1" applyAlignment="1" applyProtection="1">
      <alignment horizontal="right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4" fontId="7" fillId="3" borderId="8" xfId="0" applyNumberFormat="1" applyFont="1" applyFill="1" applyBorder="1" applyAlignment="1" applyProtection="1">
      <alignment horizontal="right" vertical="center" wrapText="1"/>
    </xf>
    <xf numFmtId="4" fontId="7" fillId="3" borderId="14" xfId="0" applyNumberFormat="1" applyFont="1" applyFill="1" applyBorder="1" applyAlignment="1" applyProtection="1">
      <alignment horizontal="right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</xf>
    <xf numFmtId="4" fontId="12" fillId="0" borderId="29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2"/>
  <sheetViews>
    <sheetView tabSelected="1" showRuler="0" topLeftCell="D268" zoomScaleNormal="100" workbookViewId="0">
      <selection activeCell="E136" sqref="E136"/>
    </sheetView>
  </sheetViews>
  <sheetFormatPr defaultRowHeight="12"/>
  <cols>
    <col min="1" max="1" width="0" hidden="1" customWidth="1"/>
    <col min="2" max="2" width="7" customWidth="1"/>
    <col min="3" max="3" width="50" customWidth="1"/>
    <col min="4" max="4" width="18" customWidth="1"/>
    <col min="5" max="5" width="15" customWidth="1"/>
    <col min="6" max="6" width="12" customWidth="1"/>
    <col min="7" max="12" width="13" customWidth="1"/>
    <col min="13" max="14" width="15" customWidth="1"/>
  </cols>
  <sheetData>
    <row r="1" spans="2:14" ht="23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"/>
    </row>
    <row r="3" spans="2:14" ht="54.9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95" customHeight="1">
      <c r="B4" s="72" t="s">
        <v>14</v>
      </c>
      <c r="C4" s="40"/>
      <c r="D4" s="40"/>
      <c r="E4" s="40"/>
      <c r="F4" s="40"/>
      <c r="G4" s="73"/>
      <c r="H4" s="73"/>
      <c r="I4" s="73"/>
      <c r="J4" s="73"/>
      <c r="K4" s="73"/>
      <c r="L4" s="74" t="s">
        <v>15</v>
      </c>
      <c r="M4" s="74"/>
      <c r="N4" s="16">
        <v>825</v>
      </c>
    </row>
    <row r="5" spans="2:14" ht="21.95" customHeight="1">
      <c r="B5" s="75" t="s">
        <v>16</v>
      </c>
      <c r="C5" s="76"/>
      <c r="D5" s="76"/>
      <c r="E5" s="77"/>
      <c r="F5" s="77"/>
      <c r="G5" s="78"/>
      <c r="H5" s="78"/>
      <c r="I5" s="78"/>
      <c r="J5" s="78"/>
      <c r="K5" s="78"/>
      <c r="L5" s="78"/>
      <c r="M5" s="78"/>
      <c r="N5" s="79"/>
    </row>
    <row r="6" spans="2:14" ht="24">
      <c r="B6" s="9">
        <v>1</v>
      </c>
      <c r="C6" s="7" t="s">
        <v>17</v>
      </c>
      <c r="D6" s="7" t="s">
        <v>18</v>
      </c>
      <c r="E6" s="11">
        <v>1.64</v>
      </c>
      <c r="F6" s="11">
        <v>2</v>
      </c>
      <c r="G6" s="14">
        <f>81.7446942*E6*F6</f>
        <v>268.12259697599995</v>
      </c>
      <c r="H6" s="14">
        <f t="shared" ref="H6:H13" si="0">0*E6*F6</f>
        <v>0</v>
      </c>
      <c r="I6" s="14">
        <f t="shared" ref="I6:I21" si="1">0*E6*F6</f>
        <v>0</v>
      </c>
      <c r="J6" s="14">
        <f>77.8209488784*E6*F6</f>
        <v>255.25271232115199</v>
      </c>
      <c r="K6" s="14">
        <f>16.754392523232*E6*F6</f>
        <v>54.954407476200956</v>
      </c>
      <c r="L6" s="14">
        <f>16.34893884*E6*F6</f>
        <v>53.624519395199997</v>
      </c>
      <c r="M6" s="14">
        <f t="shared" ref="M6:M21" si="2">SUM(G6:L6)</f>
        <v>631.95423616855282</v>
      </c>
      <c r="N6" s="18">
        <f>IF(N4&gt;0,(M6/$N$4/12),0)</f>
        <v>6.3833761229146746E-2</v>
      </c>
    </row>
    <row r="7" spans="2:14" ht="24">
      <c r="B7" s="9">
        <v>2</v>
      </c>
      <c r="C7" s="7" t="s">
        <v>19</v>
      </c>
      <c r="D7" s="7" t="s">
        <v>18</v>
      </c>
      <c r="E7" s="11">
        <v>1.64</v>
      </c>
      <c r="F7" s="11">
        <v>1</v>
      </c>
      <c r="G7" s="14">
        <f>2317.354452*E7*F7</f>
        <v>3800.46130128</v>
      </c>
      <c r="H7" s="14">
        <f t="shared" si="0"/>
        <v>0</v>
      </c>
      <c r="I7" s="14">
        <f t="shared" si="1"/>
        <v>0</v>
      </c>
      <c r="J7" s="14">
        <f>2206.121438304*E7*F7</f>
        <v>3618.0391588185598</v>
      </c>
      <c r="K7" s="14">
        <f>474.96496848192*E7*F7</f>
        <v>778.94254831034868</v>
      </c>
      <c r="L7" s="14">
        <f>463.4708904*E7*F7</f>
        <v>760.09226025599992</v>
      </c>
      <c r="M7" s="14">
        <f t="shared" si="2"/>
        <v>8957.5352686649076</v>
      </c>
      <c r="N7" s="18">
        <f>IF(N4&gt;0,(M7/$N$4/12),0)</f>
        <v>0.90480154228938459</v>
      </c>
    </row>
    <row r="8" spans="2:14" ht="24">
      <c r="B8" s="9">
        <v>3</v>
      </c>
      <c r="C8" s="7" t="s">
        <v>20</v>
      </c>
      <c r="D8" s="7" t="s">
        <v>18</v>
      </c>
      <c r="E8" s="11">
        <v>1.64</v>
      </c>
      <c r="F8" s="11">
        <v>1</v>
      </c>
      <c r="G8" s="14">
        <f>591.16185*E8*F8</f>
        <v>969.50543399999992</v>
      </c>
      <c r="H8" s="14">
        <f t="shared" si="0"/>
        <v>0</v>
      </c>
      <c r="I8" s="14">
        <f t="shared" si="1"/>
        <v>0</v>
      </c>
      <c r="J8" s="14">
        <f>562.7860812*E8*F8</f>
        <v>922.969173168</v>
      </c>
      <c r="K8" s="14">
        <f>121.164532776*E8*F8</f>
        <v>198.70983375263998</v>
      </c>
      <c r="L8" s="14">
        <f>118.23237*E8*F8</f>
        <v>193.9010868</v>
      </c>
      <c r="M8" s="14">
        <f t="shared" si="2"/>
        <v>2285.0855277206401</v>
      </c>
      <c r="N8" s="18">
        <f>IF(N4&gt;0,(M8/$N$4/12),0)</f>
        <v>0.23081671997178185</v>
      </c>
    </row>
    <row r="9" spans="2:14">
      <c r="B9" s="9">
        <v>4</v>
      </c>
      <c r="C9" s="7" t="s">
        <v>21</v>
      </c>
      <c r="D9" s="7" t="s">
        <v>22</v>
      </c>
      <c r="E9" s="11">
        <v>1.64</v>
      </c>
      <c r="F9" s="11">
        <v>1</v>
      </c>
      <c r="G9" s="14">
        <f>496.575954*E9*F9</f>
        <v>814.38456455999994</v>
      </c>
      <c r="H9" s="14">
        <f t="shared" si="0"/>
        <v>0</v>
      </c>
      <c r="I9" s="14">
        <f t="shared" si="1"/>
        <v>0</v>
      </c>
      <c r="J9" s="14">
        <f>472.740308208*E9*F9</f>
        <v>775.2941054611199</v>
      </c>
      <c r="K9" s="14">
        <f>101.77820753184*E9*F9</f>
        <v>166.91626035221759</v>
      </c>
      <c r="L9" s="14">
        <f>99.3151908*E9*F9</f>
        <v>162.87691291199999</v>
      </c>
      <c r="M9" s="14">
        <f t="shared" si="2"/>
        <v>1919.4718432853374</v>
      </c>
      <c r="N9" s="18">
        <f>IF(N4&gt;0,(M9/$N$4/12),0)</f>
        <v>0.1938860447762967</v>
      </c>
    </row>
    <row r="10" spans="2:14" ht="24">
      <c r="B10" s="9">
        <v>5</v>
      </c>
      <c r="C10" s="7" t="s">
        <v>23</v>
      </c>
      <c r="D10" s="7" t="s">
        <v>18</v>
      </c>
      <c r="E10" s="11">
        <v>1.64</v>
      </c>
      <c r="F10" s="11">
        <v>2</v>
      </c>
      <c r="G10" s="14">
        <f>945.85896*E10*F10</f>
        <v>3102.4173888</v>
      </c>
      <c r="H10" s="14">
        <f t="shared" si="0"/>
        <v>0</v>
      </c>
      <c r="I10" s="14">
        <f t="shared" si="1"/>
        <v>0</v>
      </c>
      <c r="J10" s="14">
        <f>900.45772992*E10*F10</f>
        <v>2953.5013541375997</v>
      </c>
      <c r="K10" s="14">
        <f>193.8632524416*E10*F10</f>
        <v>635.87146800844801</v>
      </c>
      <c r="L10" s="14">
        <f>189.171792*E10*F10</f>
        <v>620.48347776000003</v>
      </c>
      <c r="M10" s="14">
        <f t="shared" si="2"/>
        <v>7312.2736887060473</v>
      </c>
      <c r="N10" s="18">
        <f>IF(N4&gt;0,(M10/$N$4/12),0)</f>
        <v>0.73861350390970182</v>
      </c>
    </row>
    <row r="11" spans="2:14" ht="24">
      <c r="B11" s="9">
        <v>6</v>
      </c>
      <c r="C11" s="7" t="s">
        <v>24</v>
      </c>
      <c r="D11" s="7" t="s">
        <v>18</v>
      </c>
      <c r="E11" s="11">
        <v>1.64</v>
      </c>
      <c r="F11" s="11">
        <v>2</v>
      </c>
      <c r="G11" s="14">
        <f>709.39422*E11*F11</f>
        <v>2326.8130415999999</v>
      </c>
      <c r="H11" s="14">
        <f t="shared" si="0"/>
        <v>0</v>
      </c>
      <c r="I11" s="14">
        <f t="shared" si="1"/>
        <v>0</v>
      </c>
      <c r="J11" s="14">
        <f>675.34329744*E11*F11</f>
        <v>2215.1260156031999</v>
      </c>
      <c r="K11" s="14">
        <f>145.3974393312*E11*F11</f>
        <v>476.90360100633592</v>
      </c>
      <c r="L11" s="14">
        <f>141.878844*E11*F11</f>
        <v>465.36260831999994</v>
      </c>
      <c r="M11" s="14">
        <f t="shared" si="2"/>
        <v>5484.205266529535</v>
      </c>
      <c r="N11" s="18">
        <f>IF(N4&gt;0,(M11/$N$4/12),0)</f>
        <v>0.55396012793227623</v>
      </c>
    </row>
    <row r="12" spans="2:14">
      <c r="B12" s="9">
        <v>7</v>
      </c>
      <c r="C12" s="7" t="s">
        <v>25</v>
      </c>
      <c r="D12" s="7" t="s">
        <v>26</v>
      </c>
      <c r="E12" s="11">
        <v>1.64</v>
      </c>
      <c r="F12" s="11">
        <v>1</v>
      </c>
      <c r="G12" s="14">
        <f>709.39422*E12*F12</f>
        <v>1163.4065208</v>
      </c>
      <c r="H12" s="14">
        <f t="shared" si="0"/>
        <v>0</v>
      </c>
      <c r="I12" s="14">
        <f t="shared" si="1"/>
        <v>0</v>
      </c>
      <c r="J12" s="14">
        <f>675.34329744*E12*F12</f>
        <v>1107.5630078016</v>
      </c>
      <c r="K12" s="14">
        <f>145.3974393312*E12*F12</f>
        <v>238.45180050316796</v>
      </c>
      <c r="L12" s="14">
        <f>141.878844*E12*F12</f>
        <v>232.68130415999997</v>
      </c>
      <c r="M12" s="14">
        <f t="shared" si="2"/>
        <v>2742.1026332647675</v>
      </c>
      <c r="N12" s="18">
        <f>IF(N4&gt;0,(M12/$N$4/12),0)</f>
        <v>0.27698006396613811</v>
      </c>
    </row>
    <row r="13" spans="2:14" ht="24">
      <c r="B13" s="9">
        <v>8</v>
      </c>
      <c r="C13" s="7" t="s">
        <v>27</v>
      </c>
      <c r="D13" s="7" t="s">
        <v>28</v>
      </c>
      <c r="E13" s="11">
        <v>0.02</v>
      </c>
      <c r="F13" s="11">
        <v>2</v>
      </c>
      <c r="G13" s="14">
        <f>2128.18266*E13*F13</f>
        <v>85.127306399999995</v>
      </c>
      <c r="H13" s="14">
        <f t="shared" si="0"/>
        <v>0</v>
      </c>
      <c r="I13" s="14">
        <f t="shared" si="1"/>
        <v>0</v>
      </c>
      <c r="J13" s="14">
        <f>2026.02989232*E13*F13</f>
        <v>81.041195692800002</v>
      </c>
      <c r="K13" s="14">
        <f>436.1923179936*E13*F13</f>
        <v>17.447692719744001</v>
      </c>
      <c r="L13" s="14">
        <f>425.636532*E13*F13</f>
        <v>17.025461279999998</v>
      </c>
      <c r="M13" s="14">
        <f t="shared" si="2"/>
        <v>200.641656092544</v>
      </c>
      <c r="N13" s="18">
        <f>IF(N4&gt;0,(M13/$N$4/12),0)</f>
        <v>2.0266833948741816E-2</v>
      </c>
    </row>
    <row r="14" spans="2:14">
      <c r="B14" s="9">
        <v>9</v>
      </c>
      <c r="C14" s="7" t="s">
        <v>29</v>
      </c>
      <c r="D14" s="7" t="s">
        <v>30</v>
      </c>
      <c r="E14" s="11">
        <v>4</v>
      </c>
      <c r="F14" s="11">
        <v>1</v>
      </c>
      <c r="G14" s="14">
        <f>1048.0089*E14*F14</f>
        <v>4192.0356000000002</v>
      </c>
      <c r="H14" s="14">
        <f>463.37184*E14*F14</f>
        <v>1853.4873600000001</v>
      </c>
      <c r="I14" s="14">
        <f t="shared" si="1"/>
        <v>0</v>
      </c>
      <c r="J14" s="14">
        <f>997.7044728*E14*F14</f>
        <v>3990.8178911999998</v>
      </c>
      <c r="K14" s="14">
        <f>263.453947344*E14*F14</f>
        <v>1053.8157893760001</v>
      </c>
      <c r="L14" s="14">
        <f>209.60178*E14*F14</f>
        <v>838.40711999999996</v>
      </c>
      <c r="M14" s="14">
        <f t="shared" si="2"/>
        <v>11928.563760576</v>
      </c>
      <c r="N14" s="18">
        <f>IF(N4&gt;0,(M14/$N$4/12),0)</f>
        <v>1.2049054303612121</v>
      </c>
    </row>
    <row r="15" spans="2:14">
      <c r="B15" s="9">
        <v>10</v>
      </c>
      <c r="C15" s="7" t="s">
        <v>31</v>
      </c>
      <c r="D15" s="7" t="s">
        <v>30</v>
      </c>
      <c r="E15" s="11">
        <v>4</v>
      </c>
      <c r="F15" s="11">
        <v>1</v>
      </c>
      <c r="G15" s="14">
        <f>419.20356*E15*F15</f>
        <v>1676.8142399999999</v>
      </c>
      <c r="H15" s="14">
        <f t="shared" ref="H15:H21" si="3">0*E15*F15</f>
        <v>0</v>
      </c>
      <c r="I15" s="14">
        <f t="shared" si="1"/>
        <v>0</v>
      </c>
      <c r="J15" s="14">
        <f>399.08178912*E15*F15</f>
        <v>1596.32715648</v>
      </c>
      <c r="K15" s="14">
        <f>85.9199616576*E15*F15</f>
        <v>343.67984663039999</v>
      </c>
      <c r="L15" s="14">
        <f>83.840712*E15*F15</f>
        <v>335.36284799999999</v>
      </c>
      <c r="M15" s="14">
        <f t="shared" si="2"/>
        <v>3952.1840911104</v>
      </c>
      <c r="N15" s="18">
        <f>IF(N4&gt;0,(M15/$N$4/12),0)</f>
        <v>0.39921051425357579</v>
      </c>
    </row>
    <row r="16" spans="2:14">
      <c r="B16" s="9">
        <v>11</v>
      </c>
      <c r="C16" s="7" t="s">
        <v>32</v>
      </c>
      <c r="D16" s="7" t="s">
        <v>33</v>
      </c>
      <c r="E16" s="11">
        <v>4</v>
      </c>
      <c r="F16" s="11">
        <v>1</v>
      </c>
      <c r="G16" s="14">
        <f>59.904400011784*E16*F16</f>
        <v>239.61760004713599</v>
      </c>
      <c r="H16" s="14">
        <f t="shared" si="3"/>
        <v>0</v>
      </c>
      <c r="I16" s="14">
        <f t="shared" si="1"/>
        <v>0</v>
      </c>
      <c r="J16" s="14">
        <f>57.028988811219*E16*F16</f>
        <v>228.11595524487601</v>
      </c>
      <c r="K16" s="14">
        <f>12.278005826415*E16*F16</f>
        <v>49.112023305660003</v>
      </c>
      <c r="L16" s="14">
        <f>11.980880002357*E16*F16</f>
        <v>47.923520009428003</v>
      </c>
      <c r="M16" s="14">
        <f t="shared" si="2"/>
        <v>564.76909860709998</v>
      </c>
      <c r="N16" s="18">
        <f>IF(N4&gt;0,(M16/$N$4/12),0)</f>
        <v>5.7047383697686867E-2</v>
      </c>
    </row>
    <row r="17" spans="2:14" ht="24">
      <c r="B17" s="9">
        <v>12</v>
      </c>
      <c r="C17" s="7" t="s">
        <v>34</v>
      </c>
      <c r="D17" s="7" t="s">
        <v>18</v>
      </c>
      <c r="E17" s="11">
        <v>1.64</v>
      </c>
      <c r="F17" s="11">
        <v>1</v>
      </c>
      <c r="G17" s="14">
        <f>2364.6474*E17*F17</f>
        <v>3878.0217359999997</v>
      </c>
      <c r="H17" s="14">
        <f t="shared" si="3"/>
        <v>0</v>
      </c>
      <c r="I17" s="14">
        <f t="shared" si="1"/>
        <v>0</v>
      </c>
      <c r="J17" s="14">
        <f>2251.1443248*E17*F17</f>
        <v>3691.876692672</v>
      </c>
      <c r="K17" s="14">
        <f>484.658131104*E17*F17</f>
        <v>794.83933501055992</v>
      </c>
      <c r="L17" s="14">
        <f>472.92948*E17*F17</f>
        <v>775.60434720000001</v>
      </c>
      <c r="M17" s="14">
        <f t="shared" si="2"/>
        <v>9140.3421108825605</v>
      </c>
      <c r="N17" s="18">
        <f>IF(N4&gt;0,(M17/$N$4/12),0)</f>
        <v>0.92326687988712741</v>
      </c>
    </row>
    <row r="18" spans="2:14">
      <c r="B18" s="9">
        <v>13</v>
      </c>
      <c r="C18" s="7" t="s">
        <v>35</v>
      </c>
      <c r="D18" s="7" t="s">
        <v>36</v>
      </c>
      <c r="E18" s="11">
        <v>2</v>
      </c>
      <c r="F18" s="11">
        <v>1</v>
      </c>
      <c r="G18" s="14">
        <f>838.40712*E18*F18</f>
        <v>1676.8142399999999</v>
      </c>
      <c r="H18" s="14">
        <f t="shared" si="3"/>
        <v>0</v>
      </c>
      <c r="I18" s="14">
        <f t="shared" si="1"/>
        <v>0</v>
      </c>
      <c r="J18" s="14">
        <f>798.16357824*E18*F18</f>
        <v>1596.32715648</v>
      </c>
      <c r="K18" s="14">
        <f>171.8399233152*E18*F18</f>
        <v>343.67984663039999</v>
      </c>
      <c r="L18" s="14">
        <f>167.681424*E18*F18</f>
        <v>335.36284799999999</v>
      </c>
      <c r="M18" s="14">
        <f t="shared" si="2"/>
        <v>3952.1840911104</v>
      </c>
      <c r="N18" s="18">
        <f>IF(N4&gt;0,(M18/$N$4/12),0)</f>
        <v>0.39921051425357579</v>
      </c>
    </row>
    <row r="19" spans="2:14" ht="24">
      <c r="B19" s="9">
        <v>14</v>
      </c>
      <c r="C19" s="7" t="s">
        <v>37</v>
      </c>
      <c r="D19" s="7" t="s">
        <v>38</v>
      </c>
      <c r="E19" s="11">
        <v>16.399999999999999</v>
      </c>
      <c r="F19" s="11">
        <v>1</v>
      </c>
      <c r="G19" s="14">
        <f>194.0389362*E19*F19</f>
        <v>3182.2385536799998</v>
      </c>
      <c r="H19" s="14">
        <f t="shared" si="3"/>
        <v>0</v>
      </c>
      <c r="I19" s="14">
        <f t="shared" si="1"/>
        <v>0</v>
      </c>
      <c r="J19" s="14">
        <f>184.7250672624*E19*F19</f>
        <v>3029.4911031033594</v>
      </c>
      <c r="K19" s="14">
        <f>39.770220363552*E19*F19</f>
        <v>652.23161396225271</v>
      </c>
      <c r="L19" s="14">
        <f>38.80778724*E19*F19</f>
        <v>636.44771073599998</v>
      </c>
      <c r="M19" s="14">
        <f t="shared" si="2"/>
        <v>7500.4089814816116</v>
      </c>
      <c r="N19" s="18">
        <f>IF(N4&gt;0,(M19/$N$4/12),0)</f>
        <v>0.75761706883652646</v>
      </c>
    </row>
    <row r="20" spans="2:14" ht="24">
      <c r="B20" s="9">
        <v>15</v>
      </c>
      <c r="C20" s="7" t="s">
        <v>39</v>
      </c>
      <c r="D20" s="7" t="s">
        <v>40</v>
      </c>
      <c r="E20" s="11">
        <v>0.05</v>
      </c>
      <c r="F20" s="11">
        <v>1</v>
      </c>
      <c r="G20" s="14">
        <f>3982.43382*E20*F20</f>
        <v>199.12169100000003</v>
      </c>
      <c r="H20" s="14">
        <f t="shared" si="3"/>
        <v>0</v>
      </c>
      <c r="I20" s="14">
        <f t="shared" si="1"/>
        <v>0</v>
      </c>
      <c r="J20" s="14">
        <f>3791.27699664*E20*F20</f>
        <v>189.56384983200002</v>
      </c>
      <c r="K20" s="14">
        <f>816.2396357472*E20*F20</f>
        <v>40.811981787360004</v>
      </c>
      <c r="L20" s="14">
        <f>796.486764*E20*F20</f>
        <v>39.8243382</v>
      </c>
      <c r="M20" s="14">
        <f t="shared" si="2"/>
        <v>469.32186081936004</v>
      </c>
      <c r="N20" s="18">
        <f>IF(N4&gt;0,(M20/$N$4/12),0)</f>
        <v>4.7406248567612129E-2</v>
      </c>
    </row>
    <row r="21" spans="2:14" ht="84">
      <c r="B21" s="9">
        <v>16</v>
      </c>
      <c r="C21" s="7" t="s">
        <v>41</v>
      </c>
      <c r="D21" s="7" t="s">
        <v>42</v>
      </c>
      <c r="E21" s="11">
        <v>1</v>
      </c>
      <c r="F21" s="11">
        <v>3</v>
      </c>
      <c r="G21" s="14">
        <f>2093.2749504*E21*F21</f>
        <v>6279.8248511999991</v>
      </c>
      <c r="H21" s="14">
        <f t="shared" si="3"/>
        <v>0</v>
      </c>
      <c r="I21" s="14">
        <f t="shared" si="1"/>
        <v>0</v>
      </c>
      <c r="J21" s="14">
        <f>1992.7977527808*E21*F21</f>
        <v>5978.3932583424003</v>
      </c>
      <c r="K21" s="14">
        <f>429.03763383398*E21*F21</f>
        <v>1287.1129015019401</v>
      </c>
      <c r="L21" s="14">
        <f>418.65499008*E21*F21</f>
        <v>1255.96497024</v>
      </c>
      <c r="M21" s="14">
        <f t="shared" si="2"/>
        <v>14801.295981284338</v>
      </c>
      <c r="N21" s="18">
        <f>IF(N4&gt;0,(M21/$N$4/12),0)</f>
        <v>1.4950804021499333</v>
      </c>
    </row>
    <row r="22" spans="2:14" ht="20.100000000000001" customHeight="1">
      <c r="B22" s="56" t="s">
        <v>43</v>
      </c>
      <c r="C22" s="57"/>
      <c r="D22" s="57"/>
      <c r="E22" s="58"/>
      <c r="F22" s="58"/>
      <c r="G22" s="22">
        <f t="shared" ref="G22:N22" si="4">SUM(G6:G21)</f>
        <v>33854.726666343136</v>
      </c>
      <c r="H22" s="22">
        <f t="shared" si="4"/>
        <v>1853.4873600000001</v>
      </c>
      <c r="I22" s="22">
        <f t="shared" si="4"/>
        <v>0</v>
      </c>
      <c r="J22" s="22">
        <f t="shared" si="4"/>
        <v>32229.699786358669</v>
      </c>
      <c r="K22" s="22">
        <f t="shared" si="4"/>
        <v>7133.4809503336746</v>
      </c>
      <c r="L22" s="22">
        <f t="shared" si="4"/>
        <v>6770.9453332686271</v>
      </c>
      <c r="M22" s="22">
        <f t="shared" si="4"/>
        <v>81842.340096304106</v>
      </c>
      <c r="N22" s="18">
        <f t="shared" si="4"/>
        <v>8.2669030400307175</v>
      </c>
    </row>
    <row r="23" spans="2:14" ht="21.95" customHeight="1">
      <c r="B23" s="51" t="s">
        <v>44</v>
      </c>
      <c r="C23" s="52"/>
      <c r="D23" s="52"/>
      <c r="E23" s="53"/>
      <c r="F23" s="53"/>
      <c r="G23" s="54"/>
      <c r="H23" s="54"/>
      <c r="I23" s="54"/>
      <c r="J23" s="54"/>
      <c r="K23" s="54"/>
      <c r="L23" s="54"/>
      <c r="M23" s="54"/>
      <c r="N23" s="55"/>
    </row>
    <row r="24" spans="2:14" ht="24">
      <c r="B24" s="9">
        <v>17</v>
      </c>
      <c r="C24" s="7" t="s">
        <v>45</v>
      </c>
      <c r="D24" s="7" t="s">
        <v>46</v>
      </c>
      <c r="E24" s="11">
        <v>0.8</v>
      </c>
      <c r="F24" s="11">
        <v>12</v>
      </c>
      <c r="G24" s="14">
        <f>500.1459*E24*F24</f>
        <v>4801.4006399999998</v>
      </c>
      <c r="H24" s="14">
        <f>2.6526539*E24*F24</f>
        <v>25.465477440000001</v>
      </c>
      <c r="I24" s="14">
        <f>0*E24*F24</f>
        <v>0</v>
      </c>
      <c r="J24" s="14">
        <f>476.1388968*E24*F24</f>
        <v>4570.93340928</v>
      </c>
      <c r="K24" s="14">
        <f>102.7884323235*E24*F24</f>
        <v>986.76895030560013</v>
      </c>
      <c r="L24" s="14">
        <f>100.02918*E24*F24</f>
        <v>960.2801280000001</v>
      </c>
      <c r="M24" s="14">
        <f>SUM(G24:L24)</f>
        <v>11344.8486050256</v>
      </c>
      <c r="N24" s="18">
        <f>IF(N4&gt;0,(M24/$N$4/12),0)</f>
        <v>1.1459443035379393</v>
      </c>
    </row>
    <row r="25" spans="2:14">
      <c r="B25" s="9">
        <v>18</v>
      </c>
      <c r="C25" s="7" t="s">
        <v>47</v>
      </c>
      <c r="D25" s="7" t="s">
        <v>48</v>
      </c>
      <c r="E25" s="11">
        <v>8.0000000000000002E-3</v>
      </c>
      <c r="F25" s="11">
        <v>12</v>
      </c>
      <c r="G25" s="14">
        <f>22679.7609*E25*F25</f>
        <v>2177.2570464</v>
      </c>
      <c r="H25" s="14">
        <f>122.43018*E25*F25</f>
        <v>11.75329728</v>
      </c>
      <c r="I25" s="14">
        <f>0*E25*F25</f>
        <v>0</v>
      </c>
      <c r="J25" s="14">
        <f>21591.1323768*E25*F25</f>
        <v>2072.7487081728</v>
      </c>
      <c r="K25" s="14">
        <f>4661.298962964*E25*F25</f>
        <v>447.48470044454393</v>
      </c>
      <c r="L25" s="14">
        <f>4535.95218*E25*F25</f>
        <v>435.45140928000006</v>
      </c>
      <c r="M25" s="14">
        <f>SUM(G25:L25)</f>
        <v>5144.6951615773432</v>
      </c>
      <c r="N25" s="18">
        <f>IF(N4&gt;0,(M25/$N$4/12),0)</f>
        <v>0.51966617793710534</v>
      </c>
    </row>
    <row r="26" spans="2:14" ht="36">
      <c r="B26" s="9">
        <v>19</v>
      </c>
      <c r="C26" s="7" t="s">
        <v>49</v>
      </c>
      <c r="D26" s="7" t="s">
        <v>50</v>
      </c>
      <c r="E26" s="11">
        <v>0.08</v>
      </c>
      <c r="F26" s="11">
        <v>12</v>
      </c>
      <c r="G26" s="14">
        <f>7364.3391*E26*F26</f>
        <v>7069.7655360000008</v>
      </c>
      <c r="H26" s="14">
        <f>0*E26*F26</f>
        <v>0</v>
      </c>
      <c r="I26" s="14">
        <f>0*E26*F26</f>
        <v>0</v>
      </c>
      <c r="J26" s="14">
        <f>7010.8508232*E26*F26</f>
        <v>6730.4167902720001</v>
      </c>
      <c r="K26" s="14">
        <f>1509.394941936*E26*F26</f>
        <v>1449.0191442585599</v>
      </c>
      <c r="L26" s="14">
        <f>1472.86782*E26*F26</f>
        <v>1413.9531072</v>
      </c>
      <c r="M26" s="14">
        <f>SUM(G26:L26)</f>
        <v>16663.154577730562</v>
      </c>
      <c r="N26" s="18">
        <f>IF(N4&gt;0,(M26/$N$4/12),0)</f>
        <v>1.6831469270434909</v>
      </c>
    </row>
    <row r="27" spans="2:14" ht="24">
      <c r="B27" s="9">
        <v>20</v>
      </c>
      <c r="C27" s="7" t="s">
        <v>51</v>
      </c>
      <c r="D27" s="7" t="s">
        <v>52</v>
      </c>
      <c r="E27" s="11">
        <v>1.64</v>
      </c>
      <c r="F27" s="11">
        <v>12</v>
      </c>
      <c r="G27" s="14">
        <f>689.247*E27*F27</f>
        <v>13564.380959999999</v>
      </c>
      <c r="H27" s="14">
        <f>0*E27*F27</f>
        <v>0</v>
      </c>
      <c r="I27" s="14">
        <f>0*E27*F27</f>
        <v>0</v>
      </c>
      <c r="J27" s="14">
        <f>656.163144*E27*F27</f>
        <v>12913.290673919997</v>
      </c>
      <c r="K27" s="14">
        <f>141.26806512*E27*F27</f>
        <v>2780.1555215615995</v>
      </c>
      <c r="L27" s="14">
        <f>137.8494*E27*F27</f>
        <v>2712.8761919999997</v>
      </c>
      <c r="M27" s="14">
        <f>SUM(G27:L27)</f>
        <v>31970.703347481594</v>
      </c>
      <c r="N27" s="18">
        <f>IF(N4&gt;0,(M27/$N$4/12),0)</f>
        <v>3.2293639744930904</v>
      </c>
    </row>
    <row r="28" spans="2:14">
      <c r="B28" s="9">
        <v>21</v>
      </c>
      <c r="C28" s="7" t="s">
        <v>53</v>
      </c>
      <c r="D28" s="7" t="s">
        <v>54</v>
      </c>
      <c r="E28" s="11">
        <v>1.64</v>
      </c>
      <c r="F28" s="11">
        <v>1</v>
      </c>
      <c r="G28" s="14">
        <f>212.076*E28*F28</f>
        <v>347.80463999999995</v>
      </c>
      <c r="H28" s="14">
        <f>0*E28*F28</f>
        <v>0</v>
      </c>
      <c r="I28" s="14">
        <f>0*E28*F28</f>
        <v>0</v>
      </c>
      <c r="J28" s="14">
        <f>201.896352*E28*F28</f>
        <v>331.11001727999997</v>
      </c>
      <c r="K28" s="14">
        <f>43.46709696*E28*F28</f>
        <v>71.286039014399989</v>
      </c>
      <c r="L28" s="14">
        <f>42.4152*E28*F28</f>
        <v>69.56092799999999</v>
      </c>
      <c r="M28" s="14">
        <f>SUM(G28:L28)</f>
        <v>819.76162429439989</v>
      </c>
      <c r="N28" s="18">
        <f>IF(N4&gt;0,(M28/$N$4/12),0)</f>
        <v>8.2804204474181811E-2</v>
      </c>
    </row>
    <row r="29" spans="2:14" ht="12.75">
      <c r="B29" s="56" t="s">
        <v>43</v>
      </c>
      <c r="C29" s="57"/>
      <c r="D29" s="57"/>
      <c r="E29" s="58"/>
      <c r="F29" s="58"/>
      <c r="G29" s="22">
        <f t="shared" ref="G29:N29" si="5">SUM(G24:G28)</f>
        <v>27960.608822399998</v>
      </c>
      <c r="H29" s="22">
        <f t="shared" si="5"/>
        <v>37.218774719999999</v>
      </c>
      <c r="I29" s="22">
        <f t="shared" si="5"/>
        <v>0</v>
      </c>
      <c r="J29" s="22">
        <f t="shared" si="5"/>
        <v>26618.499598924798</v>
      </c>
      <c r="K29" s="22">
        <f t="shared" si="5"/>
        <v>5734.7143555847033</v>
      </c>
      <c r="L29" s="22">
        <f t="shared" si="5"/>
        <v>5592.1217644799999</v>
      </c>
      <c r="M29" s="22">
        <f t="shared" si="5"/>
        <v>65943.163316109509</v>
      </c>
      <c r="N29" s="18">
        <f t="shared" si="5"/>
        <v>6.6609255874858073</v>
      </c>
    </row>
    <row r="30" spans="2:14" ht="27.95" customHeight="1">
      <c r="B30" s="59" t="s">
        <v>55</v>
      </c>
      <c r="C30" s="60"/>
      <c r="D30" s="60"/>
      <c r="E30" s="61"/>
      <c r="F30" s="61"/>
      <c r="G30" s="23">
        <f t="shared" ref="G30:N30" si="6">G22+G29</f>
        <v>61815.335488743134</v>
      </c>
      <c r="H30" s="23">
        <f t="shared" si="6"/>
        <v>1890.7061347200001</v>
      </c>
      <c r="I30" s="23">
        <f t="shared" si="6"/>
        <v>0</v>
      </c>
      <c r="J30" s="23">
        <f t="shared" si="6"/>
        <v>58848.199385283471</v>
      </c>
      <c r="K30" s="23">
        <f t="shared" si="6"/>
        <v>12868.195305918378</v>
      </c>
      <c r="L30" s="23">
        <f t="shared" si="6"/>
        <v>12363.067097748626</v>
      </c>
      <c r="M30" s="23">
        <f t="shared" si="6"/>
        <v>147785.50341241361</v>
      </c>
      <c r="N30" s="24">
        <f t="shared" si="6"/>
        <v>14.927828627516526</v>
      </c>
    </row>
    <row r="31" spans="2:14" ht="24.95" customHeight="1">
      <c r="B31" s="66" t="s">
        <v>56</v>
      </c>
      <c r="C31" s="67"/>
      <c r="D31" s="67"/>
      <c r="E31" s="68"/>
      <c r="F31" s="68"/>
      <c r="G31" s="69"/>
      <c r="H31" s="69"/>
      <c r="I31" s="69"/>
      <c r="J31" s="69"/>
      <c r="K31" s="69"/>
      <c r="L31" s="70" t="s">
        <v>15</v>
      </c>
      <c r="M31" s="70"/>
      <c r="N31" s="26">
        <v>650</v>
      </c>
    </row>
    <row r="32" spans="2:14" ht="21.95" customHeight="1">
      <c r="B32" s="51" t="s">
        <v>16</v>
      </c>
      <c r="C32" s="52"/>
      <c r="D32" s="52"/>
      <c r="E32" s="53"/>
      <c r="F32" s="53"/>
      <c r="G32" s="54"/>
      <c r="H32" s="54"/>
      <c r="I32" s="54"/>
      <c r="J32" s="54"/>
      <c r="K32" s="54"/>
      <c r="L32" s="54"/>
      <c r="M32" s="54"/>
      <c r="N32" s="55"/>
    </row>
    <row r="33" spans="2:14" ht="24">
      <c r="B33" s="9">
        <v>1</v>
      </c>
      <c r="C33" s="7" t="s">
        <v>17</v>
      </c>
      <c r="D33" s="7" t="s">
        <v>18</v>
      </c>
      <c r="E33" s="11">
        <v>0.96</v>
      </c>
      <c r="F33" s="11">
        <v>2</v>
      </c>
      <c r="G33" s="14">
        <f>81.7446942*E33*F33</f>
        <v>156.94981286399999</v>
      </c>
      <c r="H33" s="14">
        <f>0*E33*F33</f>
        <v>0</v>
      </c>
      <c r="I33" s="14">
        <f t="shared" ref="I33:I41" si="7">0*E33*F33</f>
        <v>0</v>
      </c>
      <c r="J33" s="14">
        <f>77.8209488784*E33*F33</f>
        <v>149.416221846528</v>
      </c>
      <c r="K33" s="14">
        <f>16.754392523232*E33*F33</f>
        <v>32.168433644605436</v>
      </c>
      <c r="L33" s="14">
        <f>16.34893884*E33*F33</f>
        <v>31.389962572799998</v>
      </c>
      <c r="M33" s="14">
        <f t="shared" ref="M33:M41" si="8">SUM(G33:L33)</f>
        <v>369.92443092793343</v>
      </c>
      <c r="N33" s="18">
        <f>IF(N31&gt;0,(M33/$N$31/12),0)</f>
        <v>4.7426209093324796E-2</v>
      </c>
    </row>
    <row r="34" spans="2:14" ht="24">
      <c r="B34" s="9">
        <v>2</v>
      </c>
      <c r="C34" s="7" t="s">
        <v>57</v>
      </c>
      <c r="D34" s="7" t="s">
        <v>18</v>
      </c>
      <c r="E34" s="11">
        <v>0.96</v>
      </c>
      <c r="F34" s="11">
        <v>2</v>
      </c>
      <c r="G34" s="14">
        <f>651.8615358*E34*F34</f>
        <v>1251.5741487359999</v>
      </c>
      <c r="H34" s="14">
        <f>0*E34*F34</f>
        <v>0</v>
      </c>
      <c r="I34" s="14">
        <f t="shared" si="7"/>
        <v>0</v>
      </c>
      <c r="J34" s="14">
        <f>620.5721820816*E34*F34</f>
        <v>1191.498589596672</v>
      </c>
      <c r="K34" s="14">
        <f>133.60554037757*E34*F34</f>
        <v>256.5226375249344</v>
      </c>
      <c r="L34" s="14">
        <f>130.37230716*E34*F34</f>
        <v>250.31482974719998</v>
      </c>
      <c r="M34" s="14">
        <f t="shared" si="8"/>
        <v>2949.9102056048064</v>
      </c>
      <c r="N34" s="18">
        <f>IF(N31&gt;0,(M34/$N$31/12),0)</f>
        <v>0.37819361610318031</v>
      </c>
    </row>
    <row r="35" spans="2:14" ht="24">
      <c r="B35" s="9">
        <v>3</v>
      </c>
      <c r="C35" s="7" t="s">
        <v>23</v>
      </c>
      <c r="D35" s="7" t="s">
        <v>18</v>
      </c>
      <c r="E35" s="11">
        <v>0.96</v>
      </c>
      <c r="F35" s="11">
        <v>2</v>
      </c>
      <c r="G35" s="14">
        <f>945.85896*E35*F35</f>
        <v>1816.0492032</v>
      </c>
      <c r="H35" s="14">
        <f>0*E35*F35</f>
        <v>0</v>
      </c>
      <c r="I35" s="14">
        <f t="shared" si="7"/>
        <v>0</v>
      </c>
      <c r="J35" s="14">
        <f>900.45772992*E35*F35</f>
        <v>1728.8788414464</v>
      </c>
      <c r="K35" s="14">
        <f>193.8632524416*E35*F35</f>
        <v>372.21744468787199</v>
      </c>
      <c r="L35" s="14">
        <f>189.171792*E35*F35</f>
        <v>363.20984063999998</v>
      </c>
      <c r="M35" s="14">
        <f t="shared" si="8"/>
        <v>4280.3553299742716</v>
      </c>
      <c r="N35" s="18">
        <f>IF(N31&gt;0,(M35/$N$31/12),0)</f>
        <v>0.54876350384285533</v>
      </c>
    </row>
    <row r="36" spans="2:14" ht="24">
      <c r="B36" s="9">
        <v>4</v>
      </c>
      <c r="C36" s="7" t="s">
        <v>24</v>
      </c>
      <c r="D36" s="7" t="s">
        <v>18</v>
      </c>
      <c r="E36" s="11">
        <v>0.96</v>
      </c>
      <c r="F36" s="11">
        <v>2</v>
      </c>
      <c r="G36" s="14">
        <f>709.39422*E36*F36</f>
        <v>1362.0369023999999</v>
      </c>
      <c r="H36" s="14">
        <f>0*E36*F36</f>
        <v>0</v>
      </c>
      <c r="I36" s="14">
        <f t="shared" si="7"/>
        <v>0</v>
      </c>
      <c r="J36" s="14">
        <f>675.34329744*E36*F36</f>
        <v>1296.6591310848</v>
      </c>
      <c r="K36" s="14">
        <f>145.3974393312*E36*F36</f>
        <v>279.16308351590396</v>
      </c>
      <c r="L36" s="14">
        <f>141.878844*E36*F36</f>
        <v>272.40738047999997</v>
      </c>
      <c r="M36" s="14">
        <f t="shared" si="8"/>
        <v>3210.2664974807039</v>
      </c>
      <c r="N36" s="18">
        <f>IF(N31&gt;0,(M36/$N$31/12),0)</f>
        <v>0.4115726278821415</v>
      </c>
    </row>
    <row r="37" spans="2:14" ht="24">
      <c r="B37" s="9">
        <v>5</v>
      </c>
      <c r="C37" s="7" t="s">
        <v>27</v>
      </c>
      <c r="D37" s="7" t="s">
        <v>28</v>
      </c>
      <c r="E37" s="11">
        <v>0.02</v>
      </c>
      <c r="F37" s="11">
        <v>1</v>
      </c>
      <c r="G37" s="14">
        <f>2128.18266*E37*F37</f>
        <v>42.563653199999997</v>
      </c>
      <c r="H37" s="14">
        <f>0*E37*F37</f>
        <v>0</v>
      </c>
      <c r="I37" s="14">
        <f t="shared" si="7"/>
        <v>0</v>
      </c>
      <c r="J37" s="14">
        <f>2026.02989232*E37*F37</f>
        <v>40.520597846400001</v>
      </c>
      <c r="K37" s="14">
        <f>436.1923179936*E37*F37</f>
        <v>8.7238463598720006</v>
      </c>
      <c r="L37" s="14">
        <f>425.636532*E37*F37</f>
        <v>8.5127306399999991</v>
      </c>
      <c r="M37" s="14">
        <f t="shared" si="8"/>
        <v>100.320828046272</v>
      </c>
      <c r="N37" s="18">
        <f>IF(N31&gt;0,(M37/$N$31/12),0)</f>
        <v>1.2861644621316922E-2</v>
      </c>
    </row>
    <row r="38" spans="2:14">
      <c r="B38" s="9">
        <v>6</v>
      </c>
      <c r="C38" s="7" t="s">
        <v>29</v>
      </c>
      <c r="D38" s="7" t="s">
        <v>30</v>
      </c>
      <c r="E38" s="11">
        <v>4</v>
      </c>
      <c r="F38" s="11">
        <v>1</v>
      </c>
      <c r="G38" s="14">
        <f>1048.0089*E38*F38</f>
        <v>4192.0356000000002</v>
      </c>
      <c r="H38" s="14">
        <f>463.37184*E38*F38</f>
        <v>1853.4873600000001</v>
      </c>
      <c r="I38" s="14">
        <f t="shared" si="7"/>
        <v>0</v>
      </c>
      <c r="J38" s="14">
        <f>997.7044728*E38*F38</f>
        <v>3990.8178911999998</v>
      </c>
      <c r="K38" s="14">
        <f>263.453947344*E38*F38</f>
        <v>1053.8157893760001</v>
      </c>
      <c r="L38" s="14">
        <f>209.60178*E38*F38</f>
        <v>838.40711999999996</v>
      </c>
      <c r="M38" s="14">
        <f t="shared" si="8"/>
        <v>11928.563760576</v>
      </c>
      <c r="N38" s="18">
        <f>IF(N31&gt;0,(M38/$N$31/12),0)</f>
        <v>1.5293030462276924</v>
      </c>
    </row>
    <row r="39" spans="2:14">
      <c r="B39" s="9">
        <v>7</v>
      </c>
      <c r="C39" s="7" t="s">
        <v>31</v>
      </c>
      <c r="D39" s="7" t="s">
        <v>30</v>
      </c>
      <c r="E39" s="11">
        <v>4</v>
      </c>
      <c r="F39" s="11">
        <v>1</v>
      </c>
      <c r="G39" s="14">
        <f>419.20356*E39*F39</f>
        <v>1676.8142399999999</v>
      </c>
      <c r="H39" s="14">
        <f>0*E39*F39</f>
        <v>0</v>
      </c>
      <c r="I39" s="14">
        <f t="shared" si="7"/>
        <v>0</v>
      </c>
      <c r="J39" s="14">
        <f>399.08178912*E39*F39</f>
        <v>1596.32715648</v>
      </c>
      <c r="K39" s="14">
        <f>85.9199616576*E39*F39</f>
        <v>343.67984663039999</v>
      </c>
      <c r="L39" s="14">
        <f>83.840712*E39*F39</f>
        <v>335.36284799999999</v>
      </c>
      <c r="M39" s="14">
        <f t="shared" si="8"/>
        <v>3952.1840911104</v>
      </c>
      <c r="N39" s="18">
        <f>IF(N31&gt;0,(M39/$N$31/12),0)</f>
        <v>0.50669026809107687</v>
      </c>
    </row>
    <row r="40" spans="2:14">
      <c r="B40" s="9">
        <v>8</v>
      </c>
      <c r="C40" s="7" t="s">
        <v>32</v>
      </c>
      <c r="D40" s="7" t="s">
        <v>33</v>
      </c>
      <c r="E40" s="11">
        <v>2</v>
      </c>
      <c r="F40" s="11">
        <v>1</v>
      </c>
      <c r="G40" s="14">
        <f>59.904400011784*E40*F40</f>
        <v>119.808800023568</v>
      </c>
      <c r="H40" s="14">
        <f>0*E40*F40</f>
        <v>0</v>
      </c>
      <c r="I40" s="14">
        <f t="shared" si="7"/>
        <v>0</v>
      </c>
      <c r="J40" s="14">
        <f>57.028988811219*E40*F40</f>
        <v>114.057977622438</v>
      </c>
      <c r="K40" s="14">
        <f>12.278005826415*E40*F40</f>
        <v>24.556011652830001</v>
      </c>
      <c r="L40" s="14">
        <f>11.980880002357*E40*F40</f>
        <v>23.961760004714002</v>
      </c>
      <c r="M40" s="14">
        <f t="shared" si="8"/>
        <v>282.38454930354999</v>
      </c>
      <c r="N40" s="18">
        <f>IF(N31&gt;0,(M40/$N$31/12),0)</f>
        <v>3.6203147346608976E-2</v>
      </c>
    </row>
    <row r="41" spans="2:14" ht="84">
      <c r="B41" s="9">
        <v>9</v>
      </c>
      <c r="C41" s="7" t="s">
        <v>41</v>
      </c>
      <c r="D41" s="7" t="s">
        <v>42</v>
      </c>
      <c r="E41" s="11">
        <v>0.96</v>
      </c>
      <c r="F41" s="11">
        <v>5</v>
      </c>
      <c r="G41" s="14">
        <f>2093.2749504*E41*F41</f>
        <v>10047.71976192</v>
      </c>
      <c r="H41" s="14">
        <f>0*E41*F41</f>
        <v>0</v>
      </c>
      <c r="I41" s="14">
        <f t="shared" si="7"/>
        <v>0</v>
      </c>
      <c r="J41" s="14">
        <f>1992.7977527808*E41*F41</f>
        <v>9565.4292133478393</v>
      </c>
      <c r="K41" s="14">
        <f>429.03763383398*E41*F41</f>
        <v>2059.380642403104</v>
      </c>
      <c r="L41" s="14">
        <f>418.65499008*E41*F41</f>
        <v>2009.543952384</v>
      </c>
      <c r="M41" s="14">
        <f t="shared" si="8"/>
        <v>23682.073570054941</v>
      </c>
      <c r="N41" s="18">
        <f>IF(N31&gt;0,(M41/$N$31/12),0)</f>
        <v>3.0361632782121717</v>
      </c>
    </row>
    <row r="42" spans="2:14" ht="20.100000000000001" customHeight="1">
      <c r="B42" s="56" t="s">
        <v>43</v>
      </c>
      <c r="C42" s="57"/>
      <c r="D42" s="57"/>
      <c r="E42" s="58"/>
      <c r="F42" s="58"/>
      <c r="G42" s="22">
        <f t="shared" ref="G42:N42" si="9">SUM(G33:G41)</f>
        <v>20665.552122343568</v>
      </c>
      <c r="H42" s="22">
        <f t="shared" si="9"/>
        <v>1853.4873600000001</v>
      </c>
      <c r="I42" s="22">
        <f t="shared" si="9"/>
        <v>0</v>
      </c>
      <c r="J42" s="22">
        <f t="shared" si="9"/>
        <v>19673.605620471077</v>
      </c>
      <c r="K42" s="22">
        <f t="shared" si="9"/>
        <v>4430.2277357955218</v>
      </c>
      <c r="L42" s="22">
        <f t="shared" si="9"/>
        <v>4133.110424468714</v>
      </c>
      <c r="M42" s="22">
        <f t="shared" si="9"/>
        <v>50755.983263078881</v>
      </c>
      <c r="N42" s="18">
        <f t="shared" si="9"/>
        <v>6.5071773414203689</v>
      </c>
    </row>
    <row r="43" spans="2:14" ht="21.95" customHeight="1">
      <c r="B43" s="51" t="s">
        <v>44</v>
      </c>
      <c r="C43" s="52"/>
      <c r="D43" s="52"/>
      <c r="E43" s="53"/>
      <c r="F43" s="53"/>
      <c r="G43" s="54"/>
      <c r="H43" s="54"/>
      <c r="I43" s="54"/>
      <c r="J43" s="54"/>
      <c r="K43" s="54"/>
      <c r="L43" s="54"/>
      <c r="M43" s="54"/>
      <c r="N43" s="55"/>
    </row>
    <row r="44" spans="2:14" ht="24">
      <c r="B44" s="9">
        <v>10</v>
      </c>
      <c r="C44" s="7" t="s">
        <v>45</v>
      </c>
      <c r="D44" s="7" t="s">
        <v>46</v>
      </c>
      <c r="E44" s="11">
        <v>0.6</v>
      </c>
      <c r="F44" s="11">
        <v>12</v>
      </c>
      <c r="G44" s="14">
        <f>500.1459*E44*F44</f>
        <v>3601.0504799999999</v>
      </c>
      <c r="H44" s="14">
        <f>2.6526539*E44*F44</f>
        <v>19.099108079999997</v>
      </c>
      <c r="I44" s="14">
        <f>0*E44*F44</f>
        <v>0</v>
      </c>
      <c r="J44" s="14">
        <f>476.1388968*E44*F44</f>
        <v>3428.20005696</v>
      </c>
      <c r="K44" s="14">
        <f>102.7884323235*E44*F44</f>
        <v>740.07671272920004</v>
      </c>
      <c r="L44" s="14">
        <f>100.02918*E44*F44</f>
        <v>720.21009599999991</v>
      </c>
      <c r="M44" s="14">
        <f>SUM(G44:L44)</f>
        <v>8508.6364537692007</v>
      </c>
      <c r="N44" s="18">
        <f>IF(N31&gt;0,(M44/$N$31/12),0)</f>
        <v>1.0908508274063078</v>
      </c>
    </row>
    <row r="45" spans="2:14">
      <c r="B45" s="9">
        <v>11</v>
      </c>
      <c r="C45" s="7" t="s">
        <v>47</v>
      </c>
      <c r="D45" s="7" t="s">
        <v>48</v>
      </c>
      <c r="E45" s="11">
        <v>6.0000000000000001E-3</v>
      </c>
      <c r="F45" s="11">
        <v>12</v>
      </c>
      <c r="G45" s="14">
        <f>22679.7609*E45*F45</f>
        <v>1632.9427848</v>
      </c>
      <c r="H45" s="14">
        <f>122.43018*E45*F45</f>
        <v>8.8149729600000004</v>
      </c>
      <c r="I45" s="14">
        <f>0*E45*F45</f>
        <v>0</v>
      </c>
      <c r="J45" s="14">
        <f>21591.1323768*E45*F45</f>
        <v>1554.5615311296001</v>
      </c>
      <c r="K45" s="14">
        <f>4661.298962964*E45*F45</f>
        <v>335.61352533340801</v>
      </c>
      <c r="L45" s="14">
        <f>4535.95218*E45*F45</f>
        <v>326.58855696000001</v>
      </c>
      <c r="M45" s="14">
        <f>SUM(G45:L45)</f>
        <v>3858.5213711830079</v>
      </c>
      <c r="N45" s="18">
        <f>IF(N31&gt;0,(M45/$N$31/12),0)</f>
        <v>0.49468222707474463</v>
      </c>
    </row>
    <row r="46" spans="2:14" ht="36">
      <c r="B46" s="9">
        <v>12</v>
      </c>
      <c r="C46" s="7" t="s">
        <v>49</v>
      </c>
      <c r="D46" s="7" t="s">
        <v>50</v>
      </c>
      <c r="E46" s="11">
        <v>0.06</v>
      </c>
      <c r="F46" s="11">
        <v>12</v>
      </c>
      <c r="G46" s="14">
        <f>7364.3391*E46*F46</f>
        <v>5302.3241520000001</v>
      </c>
      <c r="H46" s="14">
        <f>0*E46*F46</f>
        <v>0</v>
      </c>
      <c r="I46" s="14">
        <f>0*E46*F46</f>
        <v>0</v>
      </c>
      <c r="J46" s="14">
        <f>7010.8508232*E46*F46</f>
        <v>5047.8125927040001</v>
      </c>
      <c r="K46" s="14">
        <f>1509.394941936*E46*F46</f>
        <v>1086.7643581939199</v>
      </c>
      <c r="L46" s="14">
        <f>1472.86782*E46*F46</f>
        <v>1060.4648304</v>
      </c>
      <c r="M46" s="14">
        <f>SUM(G46:L46)</f>
        <v>12497.365933297919</v>
      </c>
      <c r="N46" s="18">
        <f>IF(N31&gt;0,(M46/$N$31/12),0)</f>
        <v>1.6022264017048613</v>
      </c>
    </row>
    <row r="47" spans="2:14" ht="24">
      <c r="B47" s="9">
        <v>13</v>
      </c>
      <c r="C47" s="7" t="s">
        <v>51</v>
      </c>
      <c r="D47" s="7" t="s">
        <v>52</v>
      </c>
      <c r="E47" s="11">
        <v>0.8</v>
      </c>
      <c r="F47" s="11">
        <v>12</v>
      </c>
      <c r="G47" s="14">
        <f>689.247*E47*F47</f>
        <v>6616.7712000000001</v>
      </c>
      <c r="H47" s="14">
        <f>0*E47*F47</f>
        <v>0</v>
      </c>
      <c r="I47" s="14">
        <f>0*E47*F47</f>
        <v>0</v>
      </c>
      <c r="J47" s="14">
        <f>656.163144*E47*F47</f>
        <v>6299.1661824000003</v>
      </c>
      <c r="K47" s="14">
        <f>141.26806512*E47*F47</f>
        <v>1356.1734251519999</v>
      </c>
      <c r="L47" s="14">
        <f>137.8494*E47*F47</f>
        <v>1323.3542400000001</v>
      </c>
      <c r="M47" s="14">
        <f>SUM(G47:L47)</f>
        <v>15595.465047551999</v>
      </c>
      <c r="N47" s="18">
        <f>IF(N31&gt;0,(M47/$N$31/12),0)</f>
        <v>1.9994185958399999</v>
      </c>
    </row>
    <row r="48" spans="2:14">
      <c r="B48" s="9">
        <v>14</v>
      </c>
      <c r="C48" s="7" t="s">
        <v>53</v>
      </c>
      <c r="D48" s="7" t="s">
        <v>54</v>
      </c>
      <c r="E48" s="11">
        <v>0.8</v>
      </c>
      <c r="F48" s="11">
        <v>1</v>
      </c>
      <c r="G48" s="14">
        <f>212.076*E48*F48</f>
        <v>169.66079999999999</v>
      </c>
      <c r="H48" s="14">
        <f>0*E48*F48</f>
        <v>0</v>
      </c>
      <c r="I48" s="14">
        <f>0*E48*F48</f>
        <v>0</v>
      </c>
      <c r="J48" s="14">
        <f>201.896352*E48*F48</f>
        <v>161.51708160000001</v>
      </c>
      <c r="K48" s="14">
        <f>43.46709696*E48*F48</f>
        <v>34.773677568000004</v>
      </c>
      <c r="L48" s="14">
        <f>42.4152*E48*F48</f>
        <v>33.932160000000003</v>
      </c>
      <c r="M48" s="14">
        <f>SUM(G48:L48)</f>
        <v>399.88371916799997</v>
      </c>
      <c r="N48" s="18">
        <f>IF(N31&gt;0,(M48/$N$31/12),0)</f>
        <v>5.126714348307692E-2</v>
      </c>
    </row>
    <row r="49" spans="2:14" ht="12.75">
      <c r="B49" s="56" t="s">
        <v>43</v>
      </c>
      <c r="C49" s="57"/>
      <c r="D49" s="57"/>
      <c r="E49" s="58"/>
      <c r="F49" s="58"/>
      <c r="G49" s="22">
        <f t="shared" ref="G49:N49" si="10">SUM(G44:G48)</f>
        <v>17322.749416800001</v>
      </c>
      <c r="H49" s="22">
        <f t="shared" si="10"/>
        <v>27.914081039999999</v>
      </c>
      <c r="I49" s="22">
        <f t="shared" si="10"/>
        <v>0</v>
      </c>
      <c r="J49" s="22">
        <f t="shared" si="10"/>
        <v>16491.257444793599</v>
      </c>
      <c r="K49" s="22">
        <f t="shared" si="10"/>
        <v>3553.4016989765282</v>
      </c>
      <c r="L49" s="22">
        <f t="shared" si="10"/>
        <v>3464.5498833599995</v>
      </c>
      <c r="M49" s="22">
        <f t="shared" si="10"/>
        <v>40859.872524970131</v>
      </c>
      <c r="N49" s="18">
        <f t="shared" si="10"/>
        <v>5.2384451955089908</v>
      </c>
    </row>
    <row r="50" spans="2:14" ht="27.95" customHeight="1">
      <c r="B50" s="59" t="s">
        <v>55</v>
      </c>
      <c r="C50" s="60"/>
      <c r="D50" s="60"/>
      <c r="E50" s="61"/>
      <c r="F50" s="61"/>
      <c r="G50" s="23">
        <f t="shared" ref="G50:N50" si="11">G42+G49</f>
        <v>37988.301539143569</v>
      </c>
      <c r="H50" s="23">
        <f t="shared" si="11"/>
        <v>1881.40144104</v>
      </c>
      <c r="I50" s="23">
        <f t="shared" si="11"/>
        <v>0</v>
      </c>
      <c r="J50" s="23">
        <f t="shared" si="11"/>
        <v>36164.863065264675</v>
      </c>
      <c r="K50" s="23">
        <f t="shared" si="11"/>
        <v>7983.6294347720504</v>
      </c>
      <c r="L50" s="23">
        <f t="shared" si="11"/>
        <v>7597.6603078287135</v>
      </c>
      <c r="M50" s="23">
        <f t="shared" si="11"/>
        <v>91615.855788049012</v>
      </c>
      <c r="N50" s="24">
        <f t="shared" si="11"/>
        <v>11.745622536929361</v>
      </c>
    </row>
    <row r="51" spans="2:14" ht="24.95" customHeight="1">
      <c r="B51" s="66" t="s">
        <v>58</v>
      </c>
      <c r="C51" s="67"/>
      <c r="D51" s="67"/>
      <c r="E51" s="68"/>
      <c r="F51" s="68"/>
      <c r="G51" s="69"/>
      <c r="H51" s="69"/>
      <c r="I51" s="69"/>
      <c r="J51" s="69"/>
      <c r="K51" s="69"/>
      <c r="L51" s="70" t="s">
        <v>15</v>
      </c>
      <c r="M51" s="70"/>
      <c r="N51" s="26">
        <v>406</v>
      </c>
    </row>
    <row r="52" spans="2:14" ht="21.95" customHeight="1">
      <c r="B52" s="51" t="s">
        <v>16</v>
      </c>
      <c r="C52" s="52"/>
      <c r="D52" s="52"/>
      <c r="E52" s="53"/>
      <c r="F52" s="53"/>
      <c r="G52" s="54"/>
      <c r="H52" s="54"/>
      <c r="I52" s="54"/>
      <c r="J52" s="54"/>
      <c r="K52" s="54"/>
      <c r="L52" s="54"/>
      <c r="M52" s="54"/>
      <c r="N52" s="55"/>
    </row>
    <row r="53" spans="2:14" ht="24">
      <c r="B53" s="9">
        <v>1</v>
      </c>
      <c r="C53" s="7" t="s">
        <v>17</v>
      </c>
      <c r="D53" s="7" t="s">
        <v>18</v>
      </c>
      <c r="E53" s="11">
        <v>0.48</v>
      </c>
      <c r="F53" s="11">
        <v>2</v>
      </c>
      <c r="G53" s="14">
        <f>81.7446942*E53*F53</f>
        <v>78.474906431999997</v>
      </c>
      <c r="H53" s="14">
        <f>0*E53*F53</f>
        <v>0</v>
      </c>
      <c r="I53" s="14">
        <f t="shared" ref="I53:I61" si="12">0*E53*F53</f>
        <v>0</v>
      </c>
      <c r="J53" s="14">
        <f>77.8209488784*E53*F53</f>
        <v>74.708110923264002</v>
      </c>
      <c r="K53" s="14">
        <f>16.754392523232*E53*F53</f>
        <v>16.084216822302718</v>
      </c>
      <c r="L53" s="14">
        <f>16.34893884*E53*F53</f>
        <v>15.694981286399999</v>
      </c>
      <c r="M53" s="14">
        <f t="shared" ref="M53:M61" si="13">SUM(G53:L53)</f>
        <v>184.96221546396671</v>
      </c>
      <c r="N53" s="18">
        <f>IF(N51&gt;0,(M53/$N$51/12),0)</f>
        <v>3.7964329939237831E-2</v>
      </c>
    </row>
    <row r="54" spans="2:14" ht="24">
      <c r="B54" s="9">
        <v>2</v>
      </c>
      <c r="C54" s="7" t="s">
        <v>57</v>
      </c>
      <c r="D54" s="7" t="s">
        <v>18</v>
      </c>
      <c r="E54" s="11">
        <v>0.48</v>
      </c>
      <c r="F54" s="11">
        <v>2</v>
      </c>
      <c r="G54" s="14">
        <f>651.8615358*E54*F54</f>
        <v>625.78707436799994</v>
      </c>
      <c r="H54" s="14">
        <f>0*E54*F54</f>
        <v>0</v>
      </c>
      <c r="I54" s="14">
        <f t="shared" si="12"/>
        <v>0</v>
      </c>
      <c r="J54" s="14">
        <f>620.5721820816*E54*F54</f>
        <v>595.749294798336</v>
      </c>
      <c r="K54" s="14">
        <f>133.60554037757*E54*F54</f>
        <v>128.2613187624672</v>
      </c>
      <c r="L54" s="14">
        <f>130.37230716*E54*F54</f>
        <v>125.15741487359999</v>
      </c>
      <c r="M54" s="14">
        <f t="shared" si="13"/>
        <v>1474.9551028024032</v>
      </c>
      <c r="N54" s="18">
        <f>IF(N51&gt;0,(M54/$N$51/12),0)</f>
        <v>0.30274119515648673</v>
      </c>
    </row>
    <row r="55" spans="2:14" ht="24">
      <c r="B55" s="9">
        <v>3</v>
      </c>
      <c r="C55" s="7" t="s">
        <v>23</v>
      </c>
      <c r="D55" s="7" t="s">
        <v>18</v>
      </c>
      <c r="E55" s="11">
        <v>0.48</v>
      </c>
      <c r="F55" s="11">
        <v>2</v>
      </c>
      <c r="G55" s="14">
        <f>945.85896*E55*F55</f>
        <v>908.02460159999998</v>
      </c>
      <c r="H55" s="14">
        <f>0*E55*F55</f>
        <v>0</v>
      </c>
      <c r="I55" s="14">
        <f t="shared" si="12"/>
        <v>0</v>
      </c>
      <c r="J55" s="14">
        <f>900.45772992*E55*F55</f>
        <v>864.43942072319999</v>
      </c>
      <c r="K55" s="14">
        <f>193.8632524416*E55*F55</f>
        <v>186.10872234393599</v>
      </c>
      <c r="L55" s="14">
        <f>189.171792*E55*F55</f>
        <v>181.60492031999999</v>
      </c>
      <c r="M55" s="14">
        <f t="shared" si="13"/>
        <v>2140.1776649871358</v>
      </c>
      <c r="N55" s="18">
        <f>IF(N51&gt;0,(M55/$N$51/12),0)</f>
        <v>0.43928112992346796</v>
      </c>
    </row>
    <row r="56" spans="2:14" ht="24">
      <c r="B56" s="9">
        <v>4</v>
      </c>
      <c r="C56" s="7" t="s">
        <v>24</v>
      </c>
      <c r="D56" s="7" t="s">
        <v>18</v>
      </c>
      <c r="E56" s="11">
        <v>0.48</v>
      </c>
      <c r="F56" s="11">
        <v>2</v>
      </c>
      <c r="G56" s="14">
        <f>709.39422*E56*F56</f>
        <v>681.01845119999996</v>
      </c>
      <c r="H56" s="14">
        <f>0*E56*F56</f>
        <v>0</v>
      </c>
      <c r="I56" s="14">
        <f t="shared" si="12"/>
        <v>0</v>
      </c>
      <c r="J56" s="14">
        <f>675.34329744*E56*F56</f>
        <v>648.32956554240002</v>
      </c>
      <c r="K56" s="14">
        <f>145.3974393312*E56*F56</f>
        <v>139.58154175795198</v>
      </c>
      <c r="L56" s="14">
        <f>141.878844*E56*F56</f>
        <v>136.20369023999999</v>
      </c>
      <c r="M56" s="14">
        <f t="shared" si="13"/>
        <v>1605.133248740352</v>
      </c>
      <c r="N56" s="18">
        <f>IF(N51&gt;0,(M56/$N$51/12),0)</f>
        <v>0.32946084744260101</v>
      </c>
    </row>
    <row r="57" spans="2:14" ht="24">
      <c r="B57" s="9">
        <v>5</v>
      </c>
      <c r="C57" s="7" t="s">
        <v>27</v>
      </c>
      <c r="D57" s="7" t="s">
        <v>28</v>
      </c>
      <c r="E57" s="11">
        <v>0.01</v>
      </c>
      <c r="F57" s="11">
        <v>1</v>
      </c>
      <c r="G57" s="14">
        <f>2128.18266*E57*F57</f>
        <v>21.281826599999999</v>
      </c>
      <c r="H57" s="14">
        <f>0*E57*F57</f>
        <v>0</v>
      </c>
      <c r="I57" s="14">
        <f t="shared" si="12"/>
        <v>0</v>
      </c>
      <c r="J57" s="14">
        <f>2026.02989232*E57*F57</f>
        <v>20.260298923200001</v>
      </c>
      <c r="K57" s="14">
        <f>436.1923179936*E57*F57</f>
        <v>4.3619231799360003</v>
      </c>
      <c r="L57" s="14">
        <f>425.636532*E57*F57</f>
        <v>4.2563653199999996</v>
      </c>
      <c r="M57" s="14">
        <f t="shared" si="13"/>
        <v>50.160414023135999</v>
      </c>
      <c r="N57" s="18">
        <f>IF(N51&gt;0,(M57/$N$51/12),0)</f>
        <v>1.0295651482581282E-2</v>
      </c>
    </row>
    <row r="58" spans="2:14">
      <c r="B58" s="9">
        <v>6</v>
      </c>
      <c r="C58" s="7" t="s">
        <v>29</v>
      </c>
      <c r="D58" s="7" t="s">
        <v>30</v>
      </c>
      <c r="E58" s="11">
        <v>1</v>
      </c>
      <c r="F58" s="11">
        <v>1</v>
      </c>
      <c r="G58" s="14">
        <f>1048.0089*E58*F58</f>
        <v>1048.0089</v>
      </c>
      <c r="H58" s="14">
        <f>463.37184*E58*F58</f>
        <v>463.37184000000002</v>
      </c>
      <c r="I58" s="14">
        <f t="shared" si="12"/>
        <v>0</v>
      </c>
      <c r="J58" s="14">
        <f>997.7044728*E58*F58</f>
        <v>997.70447279999996</v>
      </c>
      <c r="K58" s="14">
        <f>263.453947344*E58*F58</f>
        <v>263.45394734400003</v>
      </c>
      <c r="L58" s="14">
        <f>209.60178*E58*F58</f>
        <v>209.60177999999999</v>
      </c>
      <c r="M58" s="14">
        <f t="shared" si="13"/>
        <v>2982.1409401440001</v>
      </c>
      <c r="N58" s="18">
        <f>IF(N51&gt;0,(M58/$N$51/12),0)</f>
        <v>0.61209789411822657</v>
      </c>
    </row>
    <row r="59" spans="2:14">
      <c r="B59" s="9">
        <v>7</v>
      </c>
      <c r="C59" s="7" t="s">
        <v>31</v>
      </c>
      <c r="D59" s="7" t="s">
        <v>30</v>
      </c>
      <c r="E59" s="11">
        <v>1</v>
      </c>
      <c r="F59" s="11">
        <v>1</v>
      </c>
      <c r="G59" s="14">
        <f>419.20356*E59*F59</f>
        <v>419.20355999999998</v>
      </c>
      <c r="H59" s="14">
        <f>0*E59*F59</f>
        <v>0</v>
      </c>
      <c r="I59" s="14">
        <f t="shared" si="12"/>
        <v>0</v>
      </c>
      <c r="J59" s="14">
        <f>399.08178912*E59*F59</f>
        <v>399.08178912</v>
      </c>
      <c r="K59" s="14">
        <f>85.9199616576*E59*F59</f>
        <v>85.919961657599998</v>
      </c>
      <c r="L59" s="14">
        <f>83.840712*E59*F59</f>
        <v>83.840711999999996</v>
      </c>
      <c r="M59" s="14">
        <f t="shared" si="13"/>
        <v>988.0460227776</v>
      </c>
      <c r="N59" s="18">
        <f>IF(N51&gt;0,(M59/$N$51/12),0)</f>
        <v>0.2028009077950739</v>
      </c>
    </row>
    <row r="60" spans="2:14">
      <c r="B60" s="9">
        <v>8</v>
      </c>
      <c r="C60" s="7" t="s">
        <v>32</v>
      </c>
      <c r="D60" s="7" t="s">
        <v>33</v>
      </c>
      <c r="E60" s="11">
        <v>1</v>
      </c>
      <c r="F60" s="11">
        <v>1</v>
      </c>
      <c r="G60" s="14">
        <f>59.904400011784*E60*F60</f>
        <v>59.904400011783999</v>
      </c>
      <c r="H60" s="14">
        <f>0*E60*F60</f>
        <v>0</v>
      </c>
      <c r="I60" s="14">
        <f t="shared" si="12"/>
        <v>0</v>
      </c>
      <c r="J60" s="14">
        <f>57.028988811219*E60*F60</f>
        <v>57.028988811219001</v>
      </c>
      <c r="K60" s="14">
        <f>12.278005826415*E60*F60</f>
        <v>12.278005826415001</v>
      </c>
      <c r="L60" s="14">
        <f>11.980880002357*E60*F60</f>
        <v>11.980880002357001</v>
      </c>
      <c r="M60" s="14">
        <f t="shared" si="13"/>
        <v>141.19227465177499</v>
      </c>
      <c r="N60" s="18">
        <f>IF(N51&gt;0,(M60/$N$51/12),0)</f>
        <v>2.8980351940019498E-2</v>
      </c>
    </row>
    <row r="61" spans="2:14" ht="84">
      <c r="B61" s="9">
        <v>9</v>
      </c>
      <c r="C61" s="7" t="s">
        <v>59</v>
      </c>
      <c r="D61" s="7" t="s">
        <v>60</v>
      </c>
      <c r="E61" s="11">
        <v>0.48</v>
      </c>
      <c r="F61" s="11">
        <v>3</v>
      </c>
      <c r="G61" s="14">
        <f>2852.4434076*E61*F61</f>
        <v>4107.5185069439995</v>
      </c>
      <c r="H61" s="14">
        <f>0*E61*F61</f>
        <v>0</v>
      </c>
      <c r="I61" s="14">
        <f t="shared" si="12"/>
        <v>0</v>
      </c>
      <c r="J61" s="14">
        <f>2715.5261240352*E61*F61</f>
        <v>3910.357618610688</v>
      </c>
      <c r="K61" s="14">
        <f>584.6368008217*E61*F61</f>
        <v>841.87699318324803</v>
      </c>
      <c r="L61" s="14">
        <f>570.48868152*E61*F61</f>
        <v>821.50370138879998</v>
      </c>
      <c r="M61" s="14">
        <f t="shared" si="13"/>
        <v>9681.256820126735</v>
      </c>
      <c r="N61" s="18">
        <f>IF(N51&gt;0,(M61/$N$51/12),0)</f>
        <v>1.9871216790079504</v>
      </c>
    </row>
    <row r="62" spans="2:14" ht="20.100000000000001" customHeight="1">
      <c r="B62" s="56" t="s">
        <v>43</v>
      </c>
      <c r="C62" s="57"/>
      <c r="D62" s="57"/>
      <c r="E62" s="58"/>
      <c r="F62" s="58"/>
      <c r="G62" s="22">
        <f t="shared" ref="G62:N62" si="14">SUM(G53:G61)</f>
        <v>7949.2222271557839</v>
      </c>
      <c r="H62" s="22">
        <f t="shared" si="14"/>
        <v>463.37184000000002</v>
      </c>
      <c r="I62" s="22">
        <f t="shared" si="14"/>
        <v>0</v>
      </c>
      <c r="J62" s="22">
        <f t="shared" si="14"/>
        <v>7567.6595602523066</v>
      </c>
      <c r="K62" s="22">
        <f t="shared" si="14"/>
        <v>1677.926630877857</v>
      </c>
      <c r="L62" s="22">
        <f t="shared" si="14"/>
        <v>1589.8444454311568</v>
      </c>
      <c r="M62" s="22">
        <f t="shared" si="14"/>
        <v>19248.024703717107</v>
      </c>
      <c r="N62" s="18">
        <f t="shared" si="14"/>
        <v>3.9507439868056453</v>
      </c>
    </row>
    <row r="63" spans="2:14" ht="21.95" customHeight="1">
      <c r="B63" s="51" t="s">
        <v>44</v>
      </c>
      <c r="C63" s="52"/>
      <c r="D63" s="52"/>
      <c r="E63" s="53"/>
      <c r="F63" s="53"/>
      <c r="G63" s="54"/>
      <c r="H63" s="54"/>
      <c r="I63" s="54"/>
      <c r="J63" s="54"/>
      <c r="K63" s="54"/>
      <c r="L63" s="54"/>
      <c r="M63" s="54"/>
      <c r="N63" s="55"/>
    </row>
    <row r="64" spans="2:14" ht="36">
      <c r="B64" s="9">
        <v>10</v>
      </c>
      <c r="C64" s="7" t="s">
        <v>61</v>
      </c>
      <c r="D64" s="7" t="s">
        <v>62</v>
      </c>
      <c r="E64" s="11">
        <v>0.1</v>
      </c>
      <c r="F64" s="11">
        <v>12</v>
      </c>
      <c r="G64" s="14">
        <f>188.49226515*E64*F64</f>
        <v>226.19071818000003</v>
      </c>
      <c r="H64" s="14">
        <f>0*E64*F64</f>
        <v>0</v>
      </c>
      <c r="I64" s="14">
        <f t="shared" ref="I64:I75" si="15">0*E64*F64</f>
        <v>0</v>
      </c>
      <c r="J64" s="14">
        <f>179.4446364228*E64*F64</f>
        <v>215.33356370735999</v>
      </c>
      <c r="K64" s="14">
        <f>38.633374665144*E64*F64</f>
        <v>46.3600495981728</v>
      </c>
      <c r="L64" s="14">
        <f>37.69845303*E64*F64</f>
        <v>45.238143636000004</v>
      </c>
      <c r="M64" s="14">
        <f t="shared" ref="M64:M75" si="16">SUM(G64:L64)</f>
        <v>533.12247512153283</v>
      </c>
      <c r="N64" s="18">
        <f>IF(N51&gt;0,(M64/$N$51/12),0)</f>
        <v>0.10942579538619311</v>
      </c>
    </row>
    <row r="65" spans="2:14" ht="24">
      <c r="B65" s="9">
        <v>11</v>
      </c>
      <c r="C65" s="7" t="s">
        <v>63</v>
      </c>
      <c r="D65" s="7" t="s">
        <v>64</v>
      </c>
      <c r="E65" s="11">
        <v>0.8</v>
      </c>
      <c r="F65" s="11">
        <v>12</v>
      </c>
      <c r="G65" s="14">
        <f>431.4421125*E65*F65</f>
        <v>4141.8442800000003</v>
      </c>
      <c r="H65" s="14">
        <f>65.18338*E65*F65</f>
        <v>625.760448</v>
      </c>
      <c r="I65" s="14">
        <f t="shared" si="15"/>
        <v>0</v>
      </c>
      <c r="J65" s="14">
        <f>410.7328911*E65*F65</f>
        <v>3943.0357545600004</v>
      </c>
      <c r="K65" s="14">
        <f>95.272630278*E65*F65</f>
        <v>914.61725066880001</v>
      </c>
      <c r="L65" s="14">
        <f>86.2884225*E65*F65</f>
        <v>828.36885600000005</v>
      </c>
      <c r="M65" s="14">
        <f t="shared" si="16"/>
        <v>10453.626589228799</v>
      </c>
      <c r="N65" s="18">
        <f>IF(N51&gt;0,(M65/$N$51/12),0)</f>
        <v>2.1456540618285715</v>
      </c>
    </row>
    <row r="66" spans="2:14" ht="24">
      <c r="B66" s="9">
        <v>12</v>
      </c>
      <c r="C66" s="7" t="s">
        <v>65</v>
      </c>
      <c r="D66" s="7" t="s">
        <v>66</v>
      </c>
      <c r="E66" s="11">
        <v>0.02</v>
      </c>
      <c r="F66" s="11">
        <v>2</v>
      </c>
      <c r="G66" s="14">
        <f>172.576845*E66*F66</f>
        <v>6.9030737999999996</v>
      </c>
      <c r="H66" s="14">
        <f>8.371547004*E66*F66</f>
        <v>0.33486188016000001</v>
      </c>
      <c r="I66" s="14">
        <f t="shared" si="15"/>
        <v>0</v>
      </c>
      <c r="J66" s="14">
        <f>164.29315644*E66*F66</f>
        <v>6.5717262576</v>
      </c>
      <c r="K66" s="14">
        <f>36.25036258662*E66*F66</f>
        <v>1.4500145034648</v>
      </c>
      <c r="L66" s="14">
        <f>34.515369*E66*F66</f>
        <v>1.3806147600000001</v>
      </c>
      <c r="M66" s="14">
        <f t="shared" si="16"/>
        <v>16.640291201224798</v>
      </c>
      <c r="N66" s="18">
        <f>IF(N51&gt;0,(M66/$N$51/12),0)</f>
        <v>3.4154949099394084E-3</v>
      </c>
    </row>
    <row r="67" spans="2:14" ht="24">
      <c r="B67" s="9">
        <v>13</v>
      </c>
      <c r="C67" s="7" t="s">
        <v>67</v>
      </c>
      <c r="D67" s="7" t="s">
        <v>68</v>
      </c>
      <c r="E67" s="11">
        <v>0.06</v>
      </c>
      <c r="F67" s="11">
        <v>2</v>
      </c>
      <c r="G67" s="14">
        <f>437.76993015*E67*F67</f>
        <v>52.532391617999998</v>
      </c>
      <c r="H67" s="14">
        <f>59.195595*E67*F67</f>
        <v>7.1034713999999992</v>
      </c>
      <c r="I67" s="14">
        <f t="shared" si="15"/>
        <v>0</v>
      </c>
      <c r="J67" s="14">
        <f>416.7569735028*E67*F67</f>
        <v>50.010836820335996</v>
      </c>
      <c r="K67" s="14">
        <f>95.940862358544*E67*F67</f>
        <v>11.51290348302528</v>
      </c>
      <c r="L67" s="14">
        <f>87.55398603*E67*F67</f>
        <v>10.5064783236</v>
      </c>
      <c r="M67" s="14">
        <f t="shared" si="16"/>
        <v>131.66608164496128</v>
      </c>
      <c r="N67" s="18">
        <f>IF(N51&gt;0,(M67/$N$51/12),0)</f>
        <v>2.7025057808900101E-2</v>
      </c>
    </row>
    <row r="68" spans="2:14">
      <c r="B68" s="9">
        <v>14</v>
      </c>
      <c r="C68" s="7" t="s">
        <v>69</v>
      </c>
      <c r="D68" s="7" t="s">
        <v>70</v>
      </c>
      <c r="E68" s="11">
        <v>0.1</v>
      </c>
      <c r="F68" s="11">
        <v>1</v>
      </c>
      <c r="G68" s="14">
        <f>63.26934*E68*F68</f>
        <v>6.3269340000000005</v>
      </c>
      <c r="H68" s="14">
        <f>34.2592*E68*F68</f>
        <v>3.4259200000000001</v>
      </c>
      <c r="I68" s="14">
        <f t="shared" si="15"/>
        <v>0</v>
      </c>
      <c r="J68" s="14">
        <f>60.23241168*E68*F68</f>
        <v>6.0232411680000002</v>
      </c>
      <c r="K68" s="14">
        <f>16.5648999264*E68*F68</f>
        <v>1.6564899926400001</v>
      </c>
      <c r="L68" s="14">
        <f>12.653868*E68*F68</f>
        <v>1.2653867999999999</v>
      </c>
      <c r="M68" s="14">
        <f t="shared" si="16"/>
        <v>18.697971960640004</v>
      </c>
      <c r="N68" s="18">
        <f>IF(N51&gt;0,(M68/$N$51/12),0)</f>
        <v>3.8378431774712652E-3</v>
      </c>
    </row>
    <row r="69" spans="2:14" ht="24">
      <c r="B69" s="9">
        <v>15</v>
      </c>
      <c r="C69" s="7" t="s">
        <v>45</v>
      </c>
      <c r="D69" s="7" t="s">
        <v>46</v>
      </c>
      <c r="E69" s="11">
        <v>0.2</v>
      </c>
      <c r="F69" s="11">
        <v>52</v>
      </c>
      <c r="G69" s="14">
        <f>500.1459*E69*F69</f>
        <v>5201.5173599999998</v>
      </c>
      <c r="H69" s="14">
        <f>2.6526539*E69*F69</f>
        <v>27.587600559999998</v>
      </c>
      <c r="I69" s="14">
        <f t="shared" si="15"/>
        <v>0</v>
      </c>
      <c r="J69" s="14">
        <f>476.1388968*E69*F69</f>
        <v>4951.8445267200004</v>
      </c>
      <c r="K69" s="14">
        <f>102.7884323235*E69*F69</f>
        <v>1068.9996961644001</v>
      </c>
      <c r="L69" s="14">
        <f>100.02918*E69*F69</f>
        <v>1040.3034720000001</v>
      </c>
      <c r="M69" s="14">
        <f t="shared" si="16"/>
        <v>12290.252655444401</v>
      </c>
      <c r="N69" s="18">
        <f>IF(N51&gt;0,(M69/$N$51/12),0)</f>
        <v>2.5226298553867816</v>
      </c>
    </row>
    <row r="70" spans="2:14">
      <c r="B70" s="9">
        <v>16</v>
      </c>
      <c r="C70" s="7" t="s">
        <v>47</v>
      </c>
      <c r="D70" s="7" t="s">
        <v>48</v>
      </c>
      <c r="E70" s="11">
        <v>3.0000000000000001E-3</v>
      </c>
      <c r="F70" s="11">
        <v>52</v>
      </c>
      <c r="G70" s="14">
        <f>22679.7609*E70*F70</f>
        <v>3538.0427004000003</v>
      </c>
      <c r="H70" s="14">
        <f>122.43018*E70*F70</f>
        <v>19.099108080000001</v>
      </c>
      <c r="I70" s="14">
        <f t="shared" si="15"/>
        <v>0</v>
      </c>
      <c r="J70" s="14">
        <f>21591.1323768*E70*F70</f>
        <v>3368.2166507808001</v>
      </c>
      <c r="K70" s="14">
        <f>4661.298962964*E70*F70</f>
        <v>727.16263822238398</v>
      </c>
      <c r="L70" s="14">
        <f>4535.95218*E70*F70</f>
        <v>707.60854008000001</v>
      </c>
      <c r="M70" s="14">
        <f t="shared" si="16"/>
        <v>8360.1296375631846</v>
      </c>
      <c r="N70" s="18">
        <f>IF(N51&gt;0,(M70/$N$51/12),0)</f>
        <v>1.715954359105744</v>
      </c>
    </row>
    <row r="71" spans="2:14">
      <c r="B71" s="9">
        <v>17</v>
      </c>
      <c r="C71" s="7" t="s">
        <v>71</v>
      </c>
      <c r="D71" s="7" t="s">
        <v>72</v>
      </c>
      <c r="E71" s="11">
        <v>0.01</v>
      </c>
      <c r="F71" s="11">
        <v>52</v>
      </c>
      <c r="G71" s="14">
        <f>425.9193*E71*F71</f>
        <v>221.47803600000003</v>
      </c>
      <c r="H71" s="14">
        <f>510.12575*E71*F71</f>
        <v>265.26539000000002</v>
      </c>
      <c r="I71" s="14">
        <f t="shared" si="15"/>
        <v>0</v>
      </c>
      <c r="J71" s="14">
        <f>405.4751736*E71*F71</f>
        <v>210.847090272</v>
      </c>
      <c r="K71" s="14">
        <f>140.859623478*E71*F71</f>
        <v>73.24700420856</v>
      </c>
      <c r="L71" s="14">
        <f>85.18386*E71*F71</f>
        <v>44.295607199999999</v>
      </c>
      <c r="M71" s="14">
        <f t="shared" si="16"/>
        <v>815.13312768056005</v>
      </c>
      <c r="N71" s="18">
        <f>IF(N51&gt;0,(M71/$N$51/12),0)</f>
        <v>0.16730975527105094</v>
      </c>
    </row>
    <row r="72" spans="2:14" ht="36">
      <c r="B72" s="9">
        <v>18</v>
      </c>
      <c r="C72" s="7" t="s">
        <v>49</v>
      </c>
      <c r="D72" s="7" t="s">
        <v>50</v>
      </c>
      <c r="E72" s="11">
        <v>0.03</v>
      </c>
      <c r="F72" s="11">
        <v>52</v>
      </c>
      <c r="G72" s="14">
        <f>7364.3391*E72*F72</f>
        <v>11488.368995999999</v>
      </c>
      <c r="H72" s="14">
        <f>0*E72*F72</f>
        <v>0</v>
      </c>
      <c r="I72" s="14">
        <f t="shared" si="15"/>
        <v>0</v>
      </c>
      <c r="J72" s="14">
        <f>7010.8508232*E72*F72</f>
        <v>10936.927284191999</v>
      </c>
      <c r="K72" s="14">
        <f>1509.394941936*E72*F72</f>
        <v>2354.6561094201597</v>
      </c>
      <c r="L72" s="14">
        <f>1472.86782*E72*F72</f>
        <v>2297.6737991999998</v>
      </c>
      <c r="M72" s="14">
        <f t="shared" si="16"/>
        <v>27077.626188812159</v>
      </c>
      <c r="N72" s="18">
        <f>IF(N51&gt;0,(M72/$N$51/12),0)</f>
        <v>5.5578050469647282</v>
      </c>
    </row>
    <row r="73" spans="2:14" ht="24">
      <c r="B73" s="9">
        <v>19</v>
      </c>
      <c r="C73" s="7" t="s">
        <v>51</v>
      </c>
      <c r="D73" s="7" t="s">
        <v>52</v>
      </c>
      <c r="E73" s="11">
        <v>0.45</v>
      </c>
      <c r="F73" s="11">
        <v>26</v>
      </c>
      <c r="G73" s="14">
        <f>689.247*E73*F73</f>
        <v>8064.1898999999994</v>
      </c>
      <c r="H73" s="14">
        <f>0*E73*F73</f>
        <v>0</v>
      </c>
      <c r="I73" s="14">
        <f t="shared" si="15"/>
        <v>0</v>
      </c>
      <c r="J73" s="14">
        <f>656.163144*E73*F73</f>
        <v>7677.1087848000006</v>
      </c>
      <c r="K73" s="14">
        <f>141.26806512*E73*F73</f>
        <v>1652.8363619039999</v>
      </c>
      <c r="L73" s="14">
        <f>137.8494*E73*F73</f>
        <v>1612.8379800000002</v>
      </c>
      <c r="M73" s="14">
        <f t="shared" si="16"/>
        <v>19006.973026703999</v>
      </c>
      <c r="N73" s="18">
        <f>IF(N51&gt;0,(M73/$N$51/12),0)</f>
        <v>3.901267041605911</v>
      </c>
    </row>
    <row r="74" spans="2:14">
      <c r="B74" s="9">
        <v>20</v>
      </c>
      <c r="C74" s="7" t="s">
        <v>53</v>
      </c>
      <c r="D74" s="7" t="s">
        <v>54</v>
      </c>
      <c r="E74" s="11">
        <v>0.45</v>
      </c>
      <c r="F74" s="11">
        <v>1</v>
      </c>
      <c r="G74" s="14">
        <f>212.076*E74*F74</f>
        <v>95.434200000000004</v>
      </c>
      <c r="H74" s="14">
        <f>0*E74*F74</f>
        <v>0</v>
      </c>
      <c r="I74" s="14">
        <f t="shared" si="15"/>
        <v>0</v>
      </c>
      <c r="J74" s="14">
        <f>201.896352*E74*F74</f>
        <v>90.853358400000005</v>
      </c>
      <c r="K74" s="14">
        <f>43.46709696*E74*F74</f>
        <v>19.560193632000001</v>
      </c>
      <c r="L74" s="14">
        <f>42.4152*E74*F74</f>
        <v>19.086839999999999</v>
      </c>
      <c r="M74" s="14">
        <f t="shared" si="16"/>
        <v>224.93459203200001</v>
      </c>
      <c r="N74" s="18">
        <f>IF(N51&gt;0,(M74/$N$51/12),0)</f>
        <v>4.6168840729064041E-2</v>
      </c>
    </row>
    <row r="75" spans="2:14" ht="36">
      <c r="B75" s="9">
        <v>21</v>
      </c>
      <c r="C75" s="7" t="s">
        <v>73</v>
      </c>
      <c r="D75" s="7" t="s">
        <v>74</v>
      </c>
      <c r="E75" s="11">
        <v>0.4</v>
      </c>
      <c r="F75" s="11">
        <v>1</v>
      </c>
      <c r="G75" s="14">
        <f>1173.769968*E75*F75</f>
        <v>469.50798720000006</v>
      </c>
      <c r="H75" s="14">
        <f>50.4192*E75*F75</f>
        <v>20.167680000000001</v>
      </c>
      <c r="I75" s="14">
        <f t="shared" si="15"/>
        <v>0</v>
      </c>
      <c r="J75" s="14">
        <f>1117.429009536*E75*F75</f>
        <v>446.9716038144</v>
      </c>
      <c r="K75" s="14">
        <f>245.86990864128*E75*F75</f>
        <v>98.347963456512005</v>
      </c>
      <c r="L75" s="14">
        <f>234.7539936*E75*F75</f>
        <v>93.901597440000003</v>
      </c>
      <c r="M75" s="14">
        <f t="shared" si="16"/>
        <v>1128.8968319109119</v>
      </c>
      <c r="N75" s="18">
        <f>IF(N51&gt;0,(M75/$N$51/12),0)</f>
        <v>0.2317111723955074</v>
      </c>
    </row>
    <row r="76" spans="2:14" ht="12.75">
      <c r="B76" s="56" t="s">
        <v>43</v>
      </c>
      <c r="C76" s="57"/>
      <c r="D76" s="57"/>
      <c r="E76" s="58"/>
      <c r="F76" s="58"/>
      <c r="G76" s="22">
        <f t="shared" ref="G76:N76" si="17">SUM(G64:G75)</f>
        <v>33512.336577198002</v>
      </c>
      <c r="H76" s="22">
        <f t="shared" si="17"/>
        <v>968.74447992016007</v>
      </c>
      <c r="I76" s="22">
        <f t="shared" si="17"/>
        <v>0</v>
      </c>
      <c r="J76" s="22">
        <f t="shared" si="17"/>
        <v>31903.744421492498</v>
      </c>
      <c r="K76" s="22">
        <f t="shared" si="17"/>
        <v>6970.4066752541194</v>
      </c>
      <c r="L76" s="22">
        <f t="shared" si="17"/>
        <v>6702.4673154395996</v>
      </c>
      <c r="M76" s="22">
        <f t="shared" si="17"/>
        <v>80057.699469304382</v>
      </c>
      <c r="N76" s="18">
        <f t="shared" si="17"/>
        <v>16.432204324569863</v>
      </c>
    </row>
    <row r="77" spans="2:14" ht="27.95" customHeight="1">
      <c r="B77" s="59" t="s">
        <v>55</v>
      </c>
      <c r="C77" s="60"/>
      <c r="D77" s="60"/>
      <c r="E77" s="61"/>
      <c r="F77" s="61"/>
      <c r="G77" s="23">
        <f t="shared" ref="G77:N77" si="18">G62+G76</f>
        <v>41461.558804353786</v>
      </c>
      <c r="H77" s="23">
        <f t="shared" si="18"/>
        <v>1432.1163199201601</v>
      </c>
      <c r="I77" s="23">
        <f t="shared" si="18"/>
        <v>0</v>
      </c>
      <c r="J77" s="23">
        <f t="shared" si="18"/>
        <v>39471.403981744807</v>
      </c>
      <c r="K77" s="23">
        <f t="shared" si="18"/>
        <v>8648.3333061319754</v>
      </c>
      <c r="L77" s="23">
        <f t="shared" si="18"/>
        <v>8292.3117608707562</v>
      </c>
      <c r="M77" s="23">
        <f t="shared" si="18"/>
        <v>99305.724173021488</v>
      </c>
      <c r="N77" s="24">
        <f t="shared" si="18"/>
        <v>20.382948311375507</v>
      </c>
    </row>
    <row r="78" spans="2:14" ht="24.95" customHeight="1">
      <c r="B78" s="66" t="s">
        <v>75</v>
      </c>
      <c r="C78" s="67"/>
      <c r="D78" s="67"/>
      <c r="E78" s="68"/>
      <c r="F78" s="68"/>
      <c r="G78" s="69"/>
      <c r="H78" s="69"/>
      <c r="I78" s="69"/>
      <c r="J78" s="69"/>
      <c r="K78" s="69"/>
      <c r="L78" s="70" t="s">
        <v>15</v>
      </c>
      <c r="M78" s="70"/>
      <c r="N78" s="26">
        <v>600</v>
      </c>
    </row>
    <row r="79" spans="2:14" ht="21.95" customHeight="1">
      <c r="B79" s="51" t="s">
        <v>16</v>
      </c>
      <c r="C79" s="52"/>
      <c r="D79" s="52"/>
      <c r="E79" s="53"/>
      <c r="F79" s="53"/>
      <c r="G79" s="54"/>
      <c r="H79" s="54"/>
      <c r="I79" s="54"/>
      <c r="J79" s="54"/>
      <c r="K79" s="54"/>
      <c r="L79" s="54"/>
      <c r="M79" s="54"/>
      <c r="N79" s="55"/>
    </row>
    <row r="80" spans="2:14" ht="24">
      <c r="B80" s="9">
        <v>1</v>
      </c>
      <c r="C80" s="7" t="s">
        <v>76</v>
      </c>
      <c r="D80" s="7" t="s">
        <v>77</v>
      </c>
      <c r="E80" s="11">
        <v>1</v>
      </c>
      <c r="F80" s="11">
        <v>1</v>
      </c>
      <c r="G80" s="14">
        <f>28.763692487846*E80*F80</f>
        <v>28.763692487846001</v>
      </c>
      <c r="H80" s="14">
        <f>328.50591278152*E80*F80</f>
        <v>328.50591278152001</v>
      </c>
      <c r="I80" s="14">
        <f t="shared" ref="I80:I107" si="19">0*E80*F80</f>
        <v>0</v>
      </c>
      <c r="J80" s="14">
        <f>27.383035248429*E80*F80</f>
        <v>27.383035248429</v>
      </c>
      <c r="K80" s="14">
        <f>40.388527254368*E80*F80</f>
        <v>40.388527254368</v>
      </c>
      <c r="L80" s="14">
        <f>5.7527384975692*E80*F80</f>
        <v>5.7527384975692</v>
      </c>
      <c r="M80" s="14">
        <f t="shared" ref="M80:M107" si="20">SUM(G80:L80)</f>
        <v>430.79390626973225</v>
      </c>
      <c r="N80" s="18">
        <f>IF(N78&gt;0,(M80/$N$78/12),0)</f>
        <v>5.9832486981907261E-2</v>
      </c>
    </row>
    <row r="81" spans="2:14">
      <c r="B81" s="9">
        <v>2</v>
      </c>
      <c r="C81" s="7" t="s">
        <v>78</v>
      </c>
      <c r="D81" s="7" t="s">
        <v>79</v>
      </c>
      <c r="E81" s="11">
        <v>0.1</v>
      </c>
      <c r="F81" s="11">
        <v>1</v>
      </c>
      <c r="G81" s="14">
        <f>4615.569045*E81*F81</f>
        <v>461.55690450000003</v>
      </c>
      <c r="H81" s="14">
        <f>13663.902655643*E81*F81</f>
        <v>1366.3902655643001</v>
      </c>
      <c r="I81" s="14">
        <f t="shared" si="19"/>
        <v>0</v>
      </c>
      <c r="J81" s="14">
        <f>4394.02173084*E81*F81</f>
        <v>439.40217308399997</v>
      </c>
      <c r="K81" s="14">
        <f>2380.7168103057*E81*F81</f>
        <v>238.07168103057003</v>
      </c>
      <c r="L81" s="14">
        <f>923.113809*E81*F81</f>
        <v>92.311380900000003</v>
      </c>
      <c r="M81" s="14">
        <f t="shared" si="20"/>
        <v>2597.7324050788702</v>
      </c>
      <c r="N81" s="18">
        <f>IF(N78&gt;0,(M81/$N$78/12),0)</f>
        <v>0.36079616737206527</v>
      </c>
    </row>
    <row r="82" spans="2:14" ht="24">
      <c r="B82" s="9">
        <v>3</v>
      </c>
      <c r="C82" s="7" t="s">
        <v>80</v>
      </c>
      <c r="D82" s="7" t="s">
        <v>18</v>
      </c>
      <c r="E82" s="11">
        <v>0.6</v>
      </c>
      <c r="F82" s="11">
        <v>1</v>
      </c>
      <c r="G82" s="14">
        <f>4871.173644*E82*F82</f>
        <v>2922.7041864000003</v>
      </c>
      <c r="H82" s="14">
        <f>2802.81742356*E82*F82</f>
        <v>1681.690454136</v>
      </c>
      <c r="I82" s="14">
        <f t="shared" si="19"/>
        <v>0</v>
      </c>
      <c r="J82" s="14">
        <f>4637.357309088*E82*F82</f>
        <v>2782.4143854527997</v>
      </c>
      <c r="K82" s="14">
        <f>1292.691579548*E82*F82</f>
        <v>775.61494772879996</v>
      </c>
      <c r="L82" s="14">
        <f>974.2347288*E82*F82</f>
        <v>584.54083728000001</v>
      </c>
      <c r="M82" s="14">
        <f t="shared" si="20"/>
        <v>8746.9648109975988</v>
      </c>
      <c r="N82" s="18">
        <f>IF(N78&gt;0,(M82/$N$78/12),0)</f>
        <v>1.2148562237496665</v>
      </c>
    </row>
    <row r="83" spans="2:14" ht="24">
      <c r="B83" s="9">
        <v>4</v>
      </c>
      <c r="C83" s="7" t="s">
        <v>17</v>
      </c>
      <c r="D83" s="7" t="s">
        <v>18</v>
      </c>
      <c r="E83" s="11">
        <v>0.6</v>
      </c>
      <c r="F83" s="11">
        <v>1</v>
      </c>
      <c r="G83" s="14">
        <f>81.7446942*E83*F83</f>
        <v>49.04681652</v>
      </c>
      <c r="H83" s="14">
        <f t="shared" ref="H83:H91" si="21">0*E83*F83</f>
        <v>0</v>
      </c>
      <c r="I83" s="14">
        <f t="shared" si="19"/>
        <v>0</v>
      </c>
      <c r="J83" s="14">
        <f>77.8209488784*E83*F83</f>
        <v>46.692569327039998</v>
      </c>
      <c r="K83" s="14">
        <f>16.754392523232*E83*F83</f>
        <v>10.052635513939199</v>
      </c>
      <c r="L83" s="14">
        <f>16.34893884*E83*F83</f>
        <v>9.8093633039999997</v>
      </c>
      <c r="M83" s="14">
        <f t="shared" si="20"/>
        <v>115.60138466497919</v>
      </c>
      <c r="N83" s="18">
        <f>IF(N78&gt;0,(M83/$N$78/12),0)</f>
        <v>1.6055747870136E-2</v>
      </c>
    </row>
    <row r="84" spans="2:14" ht="24">
      <c r="B84" s="9">
        <v>5</v>
      </c>
      <c r="C84" s="7" t="s">
        <v>57</v>
      </c>
      <c r="D84" s="7" t="s">
        <v>18</v>
      </c>
      <c r="E84" s="11">
        <v>0.6</v>
      </c>
      <c r="F84" s="11">
        <v>1</v>
      </c>
      <c r="G84" s="14">
        <f>651.8615358*E84*F84</f>
        <v>391.11692147999997</v>
      </c>
      <c r="H84" s="14">
        <f t="shared" si="21"/>
        <v>0</v>
      </c>
      <c r="I84" s="14">
        <f t="shared" si="19"/>
        <v>0</v>
      </c>
      <c r="J84" s="14">
        <f>620.5721820816*E84*F84</f>
        <v>372.34330924896</v>
      </c>
      <c r="K84" s="14">
        <f>133.60554037757*E84*F84</f>
        <v>80.163324226542002</v>
      </c>
      <c r="L84" s="14">
        <f>130.37230716*E84*F84</f>
        <v>78.223384295999992</v>
      </c>
      <c r="M84" s="14">
        <f t="shared" si="20"/>
        <v>921.84693925150191</v>
      </c>
      <c r="N84" s="18">
        <f>IF(N78&gt;0,(M84/$N$78/12),0)</f>
        <v>0.12803429711826417</v>
      </c>
    </row>
    <row r="85" spans="2:14">
      <c r="B85" s="9">
        <v>6</v>
      </c>
      <c r="C85" s="7" t="s">
        <v>81</v>
      </c>
      <c r="D85" s="7" t="s">
        <v>22</v>
      </c>
      <c r="E85" s="11">
        <v>0.6</v>
      </c>
      <c r="F85" s="11">
        <v>1</v>
      </c>
      <c r="G85" s="14">
        <f>323.9566938*E85*F85</f>
        <v>194.37401627999998</v>
      </c>
      <c r="H85" s="14">
        <f t="shared" si="21"/>
        <v>0</v>
      </c>
      <c r="I85" s="14">
        <f t="shared" si="19"/>
        <v>0</v>
      </c>
      <c r="J85" s="14">
        <f>308.4067724976*E85*F85</f>
        <v>185.04406349856001</v>
      </c>
      <c r="K85" s="14">
        <f>66.398163961248*E85*F85</f>
        <v>39.838898376748801</v>
      </c>
      <c r="L85" s="14">
        <f>64.79133876*E85*F85</f>
        <v>38.874803256</v>
      </c>
      <c r="M85" s="14">
        <f t="shared" si="20"/>
        <v>458.13178141130885</v>
      </c>
      <c r="N85" s="18">
        <f>IF(N78&gt;0,(M85/$N$78/12),0)</f>
        <v>6.362941408490401E-2</v>
      </c>
    </row>
    <row r="86" spans="2:14">
      <c r="B86" s="9">
        <v>7</v>
      </c>
      <c r="C86" s="7" t="s">
        <v>82</v>
      </c>
      <c r="D86" s="7" t="s">
        <v>22</v>
      </c>
      <c r="E86" s="11">
        <v>0.3</v>
      </c>
      <c r="F86" s="11">
        <v>1</v>
      </c>
      <c r="G86" s="14">
        <f>264.8405088*E86*F86</f>
        <v>79.452152639999994</v>
      </c>
      <c r="H86" s="14">
        <f t="shared" si="21"/>
        <v>0</v>
      </c>
      <c r="I86" s="14">
        <f t="shared" si="19"/>
        <v>0</v>
      </c>
      <c r="J86" s="14">
        <f>252.1281643776*E86*F86</f>
        <v>75.638449313279992</v>
      </c>
      <c r="K86" s="14">
        <f>54.281710683648*E86*F86</f>
        <v>16.284513205094399</v>
      </c>
      <c r="L86" s="14">
        <f>52.96810176*E86*F86</f>
        <v>15.890430528</v>
      </c>
      <c r="M86" s="14">
        <f t="shared" si="20"/>
        <v>187.2655456863744</v>
      </c>
      <c r="N86" s="18">
        <f>IF(N78&gt;0,(M86/$N$78/12),0)</f>
        <v>2.6009103567551997E-2</v>
      </c>
    </row>
    <row r="87" spans="2:14" ht="24">
      <c r="B87" s="9">
        <v>8</v>
      </c>
      <c r="C87" s="7" t="s">
        <v>23</v>
      </c>
      <c r="D87" s="7" t="s">
        <v>18</v>
      </c>
      <c r="E87" s="11">
        <v>0.6</v>
      </c>
      <c r="F87" s="11">
        <v>1</v>
      </c>
      <c r="G87" s="14">
        <f>945.85896*E87*F87</f>
        <v>567.51537599999995</v>
      </c>
      <c r="H87" s="14">
        <f t="shared" si="21"/>
        <v>0</v>
      </c>
      <c r="I87" s="14">
        <f t="shared" si="19"/>
        <v>0</v>
      </c>
      <c r="J87" s="14">
        <f>900.45772992*E87*F87</f>
        <v>540.27463795200003</v>
      </c>
      <c r="K87" s="14">
        <f>193.8632524416*E87*F87</f>
        <v>116.31795146495999</v>
      </c>
      <c r="L87" s="14">
        <f>189.171792*E87*F87</f>
        <v>113.5030752</v>
      </c>
      <c r="M87" s="14">
        <f t="shared" si="20"/>
        <v>1337.6110406169601</v>
      </c>
      <c r="N87" s="18">
        <f>IF(N78&gt;0,(M87/$N$78/12),0)</f>
        <v>0.18577931119680002</v>
      </c>
    </row>
    <row r="88" spans="2:14" ht="24">
      <c r="B88" s="9">
        <v>9</v>
      </c>
      <c r="C88" s="7" t="s">
        <v>24</v>
      </c>
      <c r="D88" s="7" t="s">
        <v>18</v>
      </c>
      <c r="E88" s="11">
        <v>0.6</v>
      </c>
      <c r="F88" s="11">
        <v>1</v>
      </c>
      <c r="G88" s="14">
        <f>709.39422*E88*F88</f>
        <v>425.63653199999999</v>
      </c>
      <c r="H88" s="14">
        <f t="shared" si="21"/>
        <v>0</v>
      </c>
      <c r="I88" s="14">
        <f t="shared" si="19"/>
        <v>0</v>
      </c>
      <c r="J88" s="14">
        <f>675.34329744*E88*F88</f>
        <v>405.205978464</v>
      </c>
      <c r="K88" s="14">
        <f>145.3974393312*E88*F88</f>
        <v>87.238463598719989</v>
      </c>
      <c r="L88" s="14">
        <f>141.878844*E88*F88</f>
        <v>85.127306399999995</v>
      </c>
      <c r="M88" s="14">
        <f t="shared" si="20"/>
        <v>1003.20828046272</v>
      </c>
      <c r="N88" s="18">
        <f>IF(N78&gt;0,(M88/$N$78/12),0)</f>
        <v>0.13933448339759999</v>
      </c>
    </row>
    <row r="89" spans="2:14">
      <c r="B89" s="9">
        <v>10</v>
      </c>
      <c r="C89" s="7" t="s">
        <v>83</v>
      </c>
      <c r="D89" s="7" t="s">
        <v>26</v>
      </c>
      <c r="E89" s="11">
        <v>0.3</v>
      </c>
      <c r="F89" s="11">
        <v>1</v>
      </c>
      <c r="G89" s="14">
        <f>662.101272*E89*F89</f>
        <v>198.63038159999999</v>
      </c>
      <c r="H89" s="14">
        <f t="shared" si="21"/>
        <v>0</v>
      </c>
      <c r="I89" s="14">
        <f t="shared" si="19"/>
        <v>0</v>
      </c>
      <c r="J89" s="14">
        <f>630.320410944*E89*F89</f>
        <v>189.09612328319997</v>
      </c>
      <c r="K89" s="14">
        <f>135.70427670912*E89*F89</f>
        <v>40.711283012735997</v>
      </c>
      <c r="L89" s="14">
        <f>132.4202544*E89*F89</f>
        <v>39.726076319999997</v>
      </c>
      <c r="M89" s="14">
        <f t="shared" si="20"/>
        <v>468.16386421593592</v>
      </c>
      <c r="N89" s="18">
        <f>IF(N78&gt;0,(M89/$N$78/12),0)</f>
        <v>6.5022758918879986E-2</v>
      </c>
    </row>
    <row r="90" spans="2:14" ht="24">
      <c r="B90" s="9">
        <v>11</v>
      </c>
      <c r="C90" s="7" t="s">
        <v>84</v>
      </c>
      <c r="D90" s="7" t="s">
        <v>85</v>
      </c>
      <c r="E90" s="11">
        <v>0.12</v>
      </c>
      <c r="F90" s="11">
        <v>1</v>
      </c>
      <c r="G90" s="14">
        <f>14187.8844*E90*F90</f>
        <v>1702.546128</v>
      </c>
      <c r="H90" s="14">
        <f t="shared" si="21"/>
        <v>0</v>
      </c>
      <c r="I90" s="14">
        <f t="shared" si="19"/>
        <v>0</v>
      </c>
      <c r="J90" s="14">
        <f>13506.8659488*E90*F90</f>
        <v>1620.8239138559998</v>
      </c>
      <c r="K90" s="14">
        <f>2907.948786624*E90*F90</f>
        <v>348.95385439488001</v>
      </c>
      <c r="L90" s="14">
        <f>2837.57688*E90*F90</f>
        <v>340.50922559999998</v>
      </c>
      <c r="M90" s="14">
        <f t="shared" si="20"/>
        <v>4012.8331218508797</v>
      </c>
      <c r="N90" s="18">
        <f>IF(N78&gt;0,(M90/$N$78/12),0)</f>
        <v>0.55733793359039996</v>
      </c>
    </row>
    <row r="91" spans="2:14">
      <c r="B91" s="9">
        <v>12</v>
      </c>
      <c r="C91" s="7" t="s">
        <v>86</v>
      </c>
      <c r="D91" s="7" t="s">
        <v>87</v>
      </c>
      <c r="E91" s="11">
        <v>36</v>
      </c>
      <c r="F91" s="11">
        <v>1</v>
      </c>
      <c r="G91" s="14">
        <f>205.7243238*E91*F91</f>
        <v>7406.0756568000006</v>
      </c>
      <c r="H91" s="14">
        <f t="shared" si="21"/>
        <v>0</v>
      </c>
      <c r="I91" s="14">
        <f t="shared" si="19"/>
        <v>0</v>
      </c>
      <c r="J91" s="14">
        <f>195.8495562576*E91*F91</f>
        <v>7050.5840252735998</v>
      </c>
      <c r="K91" s="14">
        <f>42.165257406048*E91*F91</f>
        <v>1517.949266617728</v>
      </c>
      <c r="L91" s="14">
        <f>41.14486476*E91*F91</f>
        <v>1481.21513136</v>
      </c>
      <c r="M91" s="14">
        <f t="shared" si="20"/>
        <v>17455.82408005133</v>
      </c>
      <c r="N91" s="18">
        <f>IF(N78&gt;0,(M91/$N$78/12),0)</f>
        <v>2.4244200111182406</v>
      </c>
    </row>
    <row r="92" spans="2:14" ht="36">
      <c r="B92" s="9">
        <v>13</v>
      </c>
      <c r="C92" s="7" t="s">
        <v>88</v>
      </c>
      <c r="D92" s="7" t="s">
        <v>89</v>
      </c>
      <c r="E92" s="11">
        <v>0.1</v>
      </c>
      <c r="F92" s="11">
        <v>1</v>
      </c>
      <c r="G92" s="14">
        <f>7425.045855*E92*F92</f>
        <v>742.50458550000008</v>
      </c>
      <c r="H92" s="14">
        <f>594.4391865*E92*F92</f>
        <v>59.443918650000001</v>
      </c>
      <c r="I92" s="14">
        <f t="shared" si="19"/>
        <v>0</v>
      </c>
      <c r="J92" s="14">
        <f>7068.64365396*E92*F92</f>
        <v>706.86436539600004</v>
      </c>
      <c r="K92" s="14">
        <f>1584.2535130233*E92*F92</f>
        <v>158.42535130233</v>
      </c>
      <c r="L92" s="14">
        <f>1485.009171*E92*F92</f>
        <v>148.50091710000001</v>
      </c>
      <c r="M92" s="14">
        <f t="shared" si="20"/>
        <v>1815.7391379483299</v>
      </c>
      <c r="N92" s="18">
        <f>IF(N78&gt;0,(M92/$N$78/12),0)</f>
        <v>0.25218599138171249</v>
      </c>
    </row>
    <row r="93" spans="2:14" ht="24">
      <c r="B93" s="9">
        <v>14</v>
      </c>
      <c r="C93" s="7" t="s">
        <v>90</v>
      </c>
      <c r="D93" s="7" t="s">
        <v>18</v>
      </c>
      <c r="E93" s="11">
        <v>0.6</v>
      </c>
      <c r="F93" s="11">
        <v>1</v>
      </c>
      <c r="G93" s="14">
        <f>880.327476*E93*F93</f>
        <v>528.19648559999996</v>
      </c>
      <c r="H93" s="14">
        <f>0*E93*F93</f>
        <v>0</v>
      </c>
      <c r="I93" s="14">
        <f t="shared" si="19"/>
        <v>0</v>
      </c>
      <c r="J93" s="14">
        <f>838.071757152*E93*F93</f>
        <v>502.84305429120002</v>
      </c>
      <c r="K93" s="14">
        <f>180.43191948096*E93*F93</f>
        <v>108.259151688576</v>
      </c>
      <c r="L93" s="14">
        <f>176.0654952*E93*F93</f>
        <v>105.63929711999999</v>
      </c>
      <c r="M93" s="14">
        <f t="shared" si="20"/>
        <v>1244.937988699776</v>
      </c>
      <c r="N93" s="18">
        <f>IF(N78&gt;0,(M93/$N$78/12),0)</f>
        <v>0.17290805398608</v>
      </c>
    </row>
    <row r="94" spans="2:14" ht="24">
      <c r="B94" s="9">
        <v>15</v>
      </c>
      <c r="C94" s="7" t="s">
        <v>91</v>
      </c>
      <c r="D94" s="7" t="s">
        <v>18</v>
      </c>
      <c r="E94" s="11">
        <v>0.6</v>
      </c>
      <c r="F94" s="11">
        <v>1</v>
      </c>
      <c r="G94" s="14">
        <f>880.327476*E94*F94</f>
        <v>528.19648559999996</v>
      </c>
      <c r="H94" s="14">
        <f>0*E94*F94</f>
        <v>0</v>
      </c>
      <c r="I94" s="14">
        <f t="shared" si="19"/>
        <v>0</v>
      </c>
      <c r="J94" s="14">
        <f>838.071757152*E94*F94</f>
        <v>502.84305429120002</v>
      </c>
      <c r="K94" s="14">
        <f>180.43191948096*E94*F94</f>
        <v>108.259151688576</v>
      </c>
      <c r="L94" s="14">
        <f>176.0654952*E94*F94</f>
        <v>105.63929711999999</v>
      </c>
      <c r="M94" s="14">
        <f t="shared" si="20"/>
        <v>1244.937988699776</v>
      </c>
      <c r="N94" s="18">
        <f>IF(N78&gt;0,(M94/$N$78/12),0)</f>
        <v>0.17290805398608</v>
      </c>
    </row>
    <row r="95" spans="2:14" ht="24">
      <c r="B95" s="9">
        <v>16</v>
      </c>
      <c r="C95" s="7" t="s">
        <v>92</v>
      </c>
      <c r="D95" s="7" t="s">
        <v>18</v>
      </c>
      <c r="E95" s="11">
        <v>0.6</v>
      </c>
      <c r="F95" s="11">
        <v>1</v>
      </c>
      <c r="G95" s="14">
        <f>880.327476*E95*F95</f>
        <v>528.19648559999996</v>
      </c>
      <c r="H95" s="14">
        <f>0*E95*F95</f>
        <v>0</v>
      </c>
      <c r="I95" s="14">
        <f t="shared" si="19"/>
        <v>0</v>
      </c>
      <c r="J95" s="14">
        <f>838.071757152*E95*F95</f>
        <v>502.84305429120002</v>
      </c>
      <c r="K95" s="14">
        <f>180.43191948096*E95*F95</f>
        <v>108.259151688576</v>
      </c>
      <c r="L95" s="14">
        <f>176.0654952*E95*F95</f>
        <v>105.63929711999999</v>
      </c>
      <c r="M95" s="14">
        <f t="shared" si="20"/>
        <v>1244.937988699776</v>
      </c>
      <c r="N95" s="18">
        <f>IF(N78&gt;0,(M95/$N$78/12),0)</f>
        <v>0.17290805398608</v>
      </c>
    </row>
    <row r="96" spans="2:14" ht="24">
      <c r="B96" s="9">
        <v>17</v>
      </c>
      <c r="C96" s="7" t="s">
        <v>27</v>
      </c>
      <c r="D96" s="7" t="s">
        <v>28</v>
      </c>
      <c r="E96" s="11">
        <v>0.02</v>
      </c>
      <c r="F96" s="11">
        <v>1</v>
      </c>
      <c r="G96" s="14">
        <f>2128.18266*E96*F96</f>
        <v>42.563653199999997</v>
      </c>
      <c r="H96" s="14">
        <f>0*E96*F96</f>
        <v>0</v>
      </c>
      <c r="I96" s="14">
        <f t="shared" si="19"/>
        <v>0</v>
      </c>
      <c r="J96" s="14">
        <f>2026.02989232*E96*F96</f>
        <v>40.520597846400001</v>
      </c>
      <c r="K96" s="14">
        <f>436.1923179936*E96*F96</f>
        <v>8.7238463598720006</v>
      </c>
      <c r="L96" s="14">
        <f>425.636532*E96*F96</f>
        <v>8.5127306399999991</v>
      </c>
      <c r="M96" s="14">
        <f t="shared" si="20"/>
        <v>100.320828046272</v>
      </c>
      <c r="N96" s="18">
        <f>IF(N78&gt;0,(M96/$N$78/12),0)</f>
        <v>1.3933448339759999E-2</v>
      </c>
    </row>
    <row r="97" spans="2:14">
      <c r="B97" s="9">
        <v>18</v>
      </c>
      <c r="C97" s="7" t="s">
        <v>29</v>
      </c>
      <c r="D97" s="7" t="s">
        <v>30</v>
      </c>
      <c r="E97" s="11">
        <v>1</v>
      </c>
      <c r="F97" s="11">
        <v>1</v>
      </c>
      <c r="G97" s="14">
        <f>1048.0089*E97*F97</f>
        <v>1048.0089</v>
      </c>
      <c r="H97" s="14">
        <f>463.37184*E97*F97</f>
        <v>463.37184000000002</v>
      </c>
      <c r="I97" s="14">
        <f t="shared" si="19"/>
        <v>0</v>
      </c>
      <c r="J97" s="14">
        <f>997.7044728*E97*F97</f>
        <v>997.70447279999996</v>
      </c>
      <c r="K97" s="14">
        <f>263.453947344*E97*F97</f>
        <v>263.45394734400003</v>
      </c>
      <c r="L97" s="14">
        <f>209.60178*E97*F97</f>
        <v>209.60177999999999</v>
      </c>
      <c r="M97" s="14">
        <f t="shared" si="20"/>
        <v>2982.1409401440001</v>
      </c>
      <c r="N97" s="18">
        <f>IF(N78&gt;0,(M97/$N$78/12),0)</f>
        <v>0.41418624168666668</v>
      </c>
    </row>
    <row r="98" spans="2:14">
      <c r="B98" s="9">
        <v>19</v>
      </c>
      <c r="C98" s="7" t="s">
        <v>31</v>
      </c>
      <c r="D98" s="7" t="s">
        <v>30</v>
      </c>
      <c r="E98" s="11">
        <v>1</v>
      </c>
      <c r="F98" s="11">
        <v>1</v>
      </c>
      <c r="G98" s="14">
        <f>419.20356*E98*F98</f>
        <v>419.20355999999998</v>
      </c>
      <c r="H98" s="14">
        <f>0*E98*F98</f>
        <v>0</v>
      </c>
      <c r="I98" s="14">
        <f t="shared" si="19"/>
        <v>0</v>
      </c>
      <c r="J98" s="14">
        <f>399.08178912*E98*F98</f>
        <v>399.08178912</v>
      </c>
      <c r="K98" s="14">
        <f>85.9199616576*E98*F98</f>
        <v>85.919961657599998</v>
      </c>
      <c r="L98" s="14">
        <f>83.840712*E98*F98</f>
        <v>83.840711999999996</v>
      </c>
      <c r="M98" s="14">
        <f t="shared" si="20"/>
        <v>988.0460227776</v>
      </c>
      <c r="N98" s="18">
        <f>IF(N78&gt;0,(M98/$N$78/12),0)</f>
        <v>0.13722861427466668</v>
      </c>
    </row>
    <row r="99" spans="2:14">
      <c r="B99" s="9">
        <v>20</v>
      </c>
      <c r="C99" s="7" t="s">
        <v>32</v>
      </c>
      <c r="D99" s="7" t="s">
        <v>33</v>
      </c>
      <c r="E99" s="11">
        <v>1</v>
      </c>
      <c r="F99" s="11">
        <v>1</v>
      </c>
      <c r="G99" s="14">
        <f>59.904400011784*E99*F99</f>
        <v>59.904400011783999</v>
      </c>
      <c r="H99" s="14">
        <f>0*E99*F99</f>
        <v>0</v>
      </c>
      <c r="I99" s="14">
        <f t="shared" si="19"/>
        <v>0</v>
      </c>
      <c r="J99" s="14">
        <f>57.028988811219*E99*F99</f>
        <v>57.028988811219001</v>
      </c>
      <c r="K99" s="14">
        <f>12.278005826415*E99*F99</f>
        <v>12.278005826415001</v>
      </c>
      <c r="L99" s="14">
        <f>11.980880002357*E99*F99</f>
        <v>11.980880002357001</v>
      </c>
      <c r="M99" s="14">
        <f t="shared" si="20"/>
        <v>141.19227465177499</v>
      </c>
      <c r="N99" s="18">
        <f>IF(N78&gt;0,(M99/$N$78/12),0)</f>
        <v>1.961003814607986E-2</v>
      </c>
    </row>
    <row r="100" spans="2:14" ht="24">
      <c r="B100" s="9">
        <v>21</v>
      </c>
      <c r="C100" s="7" t="s">
        <v>34</v>
      </c>
      <c r="D100" s="7" t="s">
        <v>18</v>
      </c>
      <c r="E100" s="11">
        <v>0.6</v>
      </c>
      <c r="F100" s="11">
        <v>1</v>
      </c>
      <c r="G100" s="14">
        <f>2364.6474*E100*F100</f>
        <v>1418.7884399999998</v>
      </c>
      <c r="H100" s="14">
        <f>0*E100*F100</f>
        <v>0</v>
      </c>
      <c r="I100" s="14">
        <f t="shared" si="19"/>
        <v>0</v>
      </c>
      <c r="J100" s="14">
        <f>2251.1443248*E100*F100</f>
        <v>1350.68659488</v>
      </c>
      <c r="K100" s="14">
        <f>484.658131104*E100*F100</f>
        <v>290.79487866239998</v>
      </c>
      <c r="L100" s="14">
        <f>472.92948*E100*F100</f>
        <v>283.75768799999997</v>
      </c>
      <c r="M100" s="14">
        <f t="shared" si="20"/>
        <v>3344.0276015424001</v>
      </c>
      <c r="N100" s="18">
        <f>IF(N78&gt;0,(M100/$N$78/12),0)</f>
        <v>0.464448277992</v>
      </c>
    </row>
    <row r="101" spans="2:14" ht="36">
      <c r="B101" s="9">
        <v>22</v>
      </c>
      <c r="C101" s="7" t="s">
        <v>93</v>
      </c>
      <c r="D101" s="7" t="s">
        <v>94</v>
      </c>
      <c r="E101" s="11">
        <v>0.6</v>
      </c>
      <c r="F101" s="11">
        <v>1</v>
      </c>
      <c r="G101" s="14">
        <f>945.85896*E101*F101</f>
        <v>567.51537599999995</v>
      </c>
      <c r="H101" s="14">
        <f>0*E101*F101</f>
        <v>0</v>
      </c>
      <c r="I101" s="14">
        <f t="shared" si="19"/>
        <v>0</v>
      </c>
      <c r="J101" s="14">
        <f>900.45772992*E101*F101</f>
        <v>540.27463795200003</v>
      </c>
      <c r="K101" s="14">
        <f>193.8632524416*E101*F101</f>
        <v>116.31795146495999</v>
      </c>
      <c r="L101" s="14">
        <f>189.171792*E101*F101</f>
        <v>113.5030752</v>
      </c>
      <c r="M101" s="14">
        <f t="shared" si="20"/>
        <v>1337.6110406169601</v>
      </c>
      <c r="N101" s="18">
        <f>IF(N78&gt;0,(M101/$N$78/12),0)</f>
        <v>0.18577931119680002</v>
      </c>
    </row>
    <row r="102" spans="2:14" ht="24">
      <c r="B102" s="9">
        <v>23</v>
      </c>
      <c r="C102" s="7" t="s">
        <v>95</v>
      </c>
      <c r="D102" s="7" t="s">
        <v>96</v>
      </c>
      <c r="E102" s="11">
        <v>1</v>
      </c>
      <c r="F102" s="11">
        <v>1</v>
      </c>
      <c r="G102" s="14">
        <f>823.6943475*E102*F102</f>
        <v>823.69434750000005</v>
      </c>
      <c r="H102" s="14">
        <f>7.100526745*E102*F102</f>
        <v>7.1005267449999998</v>
      </c>
      <c r="I102" s="14">
        <f t="shared" si="19"/>
        <v>0</v>
      </c>
      <c r="J102" s="14">
        <f>784.15701882*E102*F102</f>
        <v>784.15701881999996</v>
      </c>
      <c r="K102" s="14">
        <f>169.56994877182*E102*F102</f>
        <v>169.56994877182001</v>
      </c>
      <c r="L102" s="14">
        <f>164.7388695*E102*F102</f>
        <v>164.73886949999999</v>
      </c>
      <c r="M102" s="14">
        <f t="shared" si="20"/>
        <v>1949.2607113368201</v>
      </c>
      <c r="N102" s="18">
        <f>IF(N78&gt;0,(M102/$N$78/12),0)</f>
        <v>0.27073065435233612</v>
      </c>
    </row>
    <row r="103" spans="2:14" ht="24">
      <c r="B103" s="9">
        <v>24</v>
      </c>
      <c r="C103" s="7" t="s">
        <v>97</v>
      </c>
      <c r="D103" s="7" t="s">
        <v>96</v>
      </c>
      <c r="E103" s="11">
        <v>1</v>
      </c>
      <c r="F103" s="11">
        <v>1</v>
      </c>
      <c r="G103" s="14">
        <f>25.1522136*E103*F103</f>
        <v>25.1522136</v>
      </c>
      <c r="H103" s="14">
        <f>0*E103*F103</f>
        <v>0</v>
      </c>
      <c r="I103" s="14">
        <f t="shared" si="19"/>
        <v>0</v>
      </c>
      <c r="J103" s="14">
        <f>23.9449073472*E103*F103</f>
        <v>23.944907347200001</v>
      </c>
      <c r="K103" s="14">
        <f>5.155197699456*E103*F103</f>
        <v>5.155197699456</v>
      </c>
      <c r="L103" s="14">
        <f>5.03044272*E103*F103</f>
        <v>5.0304427199999999</v>
      </c>
      <c r="M103" s="14">
        <f t="shared" si="20"/>
        <v>59.28276136665599</v>
      </c>
      <c r="N103" s="18">
        <f>IF(N78&gt;0,(M103/$N$78/12),0)</f>
        <v>8.2337168564799983E-3</v>
      </c>
    </row>
    <row r="104" spans="2:14" ht="24">
      <c r="B104" s="9">
        <v>25</v>
      </c>
      <c r="C104" s="7" t="s">
        <v>37</v>
      </c>
      <c r="D104" s="7" t="s">
        <v>38</v>
      </c>
      <c r="E104" s="11">
        <v>36</v>
      </c>
      <c r="F104" s="11">
        <v>1</v>
      </c>
      <c r="G104" s="14">
        <f>194.0389362*E104*F104</f>
        <v>6985.4017032000002</v>
      </c>
      <c r="H104" s="14">
        <f>0*E104*F104</f>
        <v>0</v>
      </c>
      <c r="I104" s="14">
        <f t="shared" si="19"/>
        <v>0</v>
      </c>
      <c r="J104" s="14">
        <f>184.7250672624*E104*F104</f>
        <v>6650.1024214463996</v>
      </c>
      <c r="K104" s="14">
        <f>39.770220363552*E104*F104</f>
        <v>1431.7279330878719</v>
      </c>
      <c r="L104" s="14">
        <f>38.80778724*E104*F104</f>
        <v>1397.08034064</v>
      </c>
      <c r="M104" s="14">
        <f t="shared" si="20"/>
        <v>16464.31239837427</v>
      </c>
      <c r="N104" s="18">
        <f>IF(N78&gt;0,(M104/$N$78/12),0)</f>
        <v>2.2867100553297597</v>
      </c>
    </row>
    <row r="105" spans="2:14" ht="24">
      <c r="B105" s="9">
        <v>26</v>
      </c>
      <c r="C105" s="7" t="s">
        <v>98</v>
      </c>
      <c r="D105" s="7" t="s">
        <v>99</v>
      </c>
      <c r="E105" s="11">
        <v>0.06</v>
      </c>
      <c r="F105" s="11">
        <v>1</v>
      </c>
      <c r="G105" s="14">
        <f>11737.69968*E105*F105</f>
        <v>704.26198079999995</v>
      </c>
      <c r="H105" s="14">
        <f>0*E105*F105</f>
        <v>0</v>
      </c>
      <c r="I105" s="14">
        <f t="shared" si="19"/>
        <v>0</v>
      </c>
      <c r="J105" s="14">
        <f>11174.29009536*E105*F105</f>
        <v>670.45740572160003</v>
      </c>
      <c r="K105" s="14">
        <f>2405.7589264128*E105*F105</f>
        <v>144.34553558476799</v>
      </c>
      <c r="L105" s="14">
        <f>2347.539936*E105*F105</f>
        <v>140.85239616000001</v>
      </c>
      <c r="M105" s="14">
        <f t="shared" si="20"/>
        <v>1659.9173182663681</v>
      </c>
      <c r="N105" s="18">
        <f>IF(N78&gt;0,(M105/$N$78/12),0)</f>
        <v>0.23054407198144</v>
      </c>
    </row>
    <row r="106" spans="2:14" ht="24">
      <c r="B106" s="9">
        <v>27</v>
      </c>
      <c r="C106" s="7" t="s">
        <v>39</v>
      </c>
      <c r="D106" s="7" t="s">
        <v>40</v>
      </c>
      <c r="E106" s="11">
        <v>0.36</v>
      </c>
      <c r="F106" s="11">
        <v>1</v>
      </c>
      <c r="G106" s="14">
        <f>3982.43382*E106*F106</f>
        <v>1433.6761752</v>
      </c>
      <c r="H106" s="14">
        <f>0*E106*F106</f>
        <v>0</v>
      </c>
      <c r="I106" s="14">
        <f t="shared" si="19"/>
        <v>0</v>
      </c>
      <c r="J106" s="14">
        <f>3791.27699664*E106*F106</f>
        <v>1364.8597187903999</v>
      </c>
      <c r="K106" s="14">
        <f>816.2396357472*E106*F106</f>
        <v>293.84626886899201</v>
      </c>
      <c r="L106" s="14">
        <f>796.486764*E106*F106</f>
        <v>286.73523503999996</v>
      </c>
      <c r="M106" s="14">
        <f t="shared" si="20"/>
        <v>3379.117397899392</v>
      </c>
      <c r="N106" s="18">
        <f>IF(N78&gt;0,(M106/$N$78/12),0)</f>
        <v>0.46932186081935995</v>
      </c>
    </row>
    <row r="107" spans="2:14" ht="84">
      <c r="B107" s="9">
        <v>28</v>
      </c>
      <c r="C107" s="7" t="s">
        <v>41</v>
      </c>
      <c r="D107" s="7" t="s">
        <v>60</v>
      </c>
      <c r="E107" s="11">
        <v>0.6</v>
      </c>
      <c r="F107" s="11">
        <v>3</v>
      </c>
      <c r="G107" s="14">
        <f>2608.7680836*E107*F107</f>
        <v>4695.7825504800003</v>
      </c>
      <c r="H107" s="14">
        <f>0*E107*F107</f>
        <v>0</v>
      </c>
      <c r="I107" s="14">
        <f t="shared" si="19"/>
        <v>0</v>
      </c>
      <c r="J107" s="14">
        <f>2483.5472155872*E107*F107</f>
        <v>4470.3849880569596</v>
      </c>
      <c r="K107" s="14">
        <f>534.69310641466*E107*F107</f>
        <v>962.44759154638791</v>
      </c>
      <c r="L107" s="14">
        <f>521.75361672*E107*F107</f>
        <v>939.15651009599992</v>
      </c>
      <c r="M107" s="14">
        <f t="shared" si="20"/>
        <v>11067.771640179348</v>
      </c>
      <c r="N107" s="18">
        <f>IF(N78&gt;0,(M107/$N$78/12),0)</f>
        <v>1.5371905055804651</v>
      </c>
    </row>
    <row r="108" spans="2:14" ht="20.100000000000001" customHeight="1">
      <c r="B108" s="56" t="s">
        <v>43</v>
      </c>
      <c r="C108" s="57"/>
      <c r="D108" s="57"/>
      <c r="E108" s="58"/>
      <c r="F108" s="58"/>
      <c r="G108" s="22">
        <f t="shared" ref="G108:N108" si="22">SUM(G80:G107)</f>
        <v>34978.466106999629</v>
      </c>
      <c r="H108" s="22">
        <f t="shared" si="22"/>
        <v>3906.50291787682</v>
      </c>
      <c r="I108" s="22">
        <f t="shared" si="22"/>
        <v>0</v>
      </c>
      <c r="J108" s="22">
        <f t="shared" si="22"/>
        <v>33299.499733863646</v>
      </c>
      <c r="K108" s="22">
        <f t="shared" si="22"/>
        <v>7579.3692196676884</v>
      </c>
      <c r="L108" s="22">
        <f t="shared" si="22"/>
        <v>6995.6932213999253</v>
      </c>
      <c r="M108" s="22">
        <f t="shared" si="22"/>
        <v>86759.531199807709</v>
      </c>
      <c r="N108" s="18">
        <f t="shared" si="22"/>
        <v>12.049934888862184</v>
      </c>
    </row>
    <row r="109" spans="2:14" ht="21.95" customHeight="1">
      <c r="B109" s="51" t="s">
        <v>44</v>
      </c>
      <c r="C109" s="52"/>
      <c r="D109" s="52"/>
      <c r="E109" s="53"/>
      <c r="F109" s="53"/>
      <c r="G109" s="54"/>
      <c r="H109" s="54"/>
      <c r="I109" s="54"/>
      <c r="J109" s="54"/>
      <c r="K109" s="54"/>
      <c r="L109" s="54"/>
      <c r="M109" s="54"/>
      <c r="N109" s="55"/>
    </row>
    <row r="110" spans="2:14" ht="36">
      <c r="B110" s="9">
        <v>29</v>
      </c>
      <c r="C110" s="7" t="s">
        <v>61</v>
      </c>
      <c r="D110" s="7" t="s">
        <v>62</v>
      </c>
      <c r="E110" s="11">
        <v>0.5</v>
      </c>
      <c r="F110" s="11">
        <v>52</v>
      </c>
      <c r="G110" s="14">
        <f>188.49226515*E110*F110</f>
        <v>4900.7988939000006</v>
      </c>
      <c r="H110" s="14">
        <f>0*E110*F110</f>
        <v>0</v>
      </c>
      <c r="I110" s="14">
        <f t="shared" ref="I110:I122" si="23">0*E110*F110</f>
        <v>0</v>
      </c>
      <c r="J110" s="14">
        <f>179.4446364228*E110*F110</f>
        <v>4665.5605469927996</v>
      </c>
      <c r="K110" s="14">
        <f>38.633374665144*E110*F110</f>
        <v>1004.4677412937439</v>
      </c>
      <c r="L110" s="14">
        <f>37.69845303*E110*F110</f>
        <v>980.15977878000012</v>
      </c>
      <c r="M110" s="14">
        <f t="shared" ref="M110:M122" si="24">SUM(G110:L110)</f>
        <v>11550.986960966544</v>
      </c>
      <c r="N110" s="18">
        <f>IF(N78&gt;0,(M110/$N$78/12),0)</f>
        <v>1.6043037445786865</v>
      </c>
    </row>
    <row r="111" spans="2:14" ht="24">
      <c r="B111" s="9">
        <v>30</v>
      </c>
      <c r="C111" s="7" t="s">
        <v>63</v>
      </c>
      <c r="D111" s="7" t="s">
        <v>64</v>
      </c>
      <c r="E111" s="11">
        <v>0.5</v>
      </c>
      <c r="F111" s="11">
        <v>52</v>
      </c>
      <c r="G111" s="14">
        <f>431.4421125*E111*F111</f>
        <v>11217.494925000001</v>
      </c>
      <c r="H111" s="14">
        <f>65.18338*E111*F111</f>
        <v>1694.7678799999999</v>
      </c>
      <c r="I111" s="14">
        <f t="shared" si="23"/>
        <v>0</v>
      </c>
      <c r="J111" s="14">
        <f>410.7328911*E111*F111</f>
        <v>10679.0551686</v>
      </c>
      <c r="K111" s="14">
        <f>95.272630278*E111*F111</f>
        <v>2477.0883872279996</v>
      </c>
      <c r="L111" s="14">
        <f>86.2884225*E111*F111</f>
        <v>2243.4989849999997</v>
      </c>
      <c r="M111" s="14">
        <f t="shared" si="24"/>
        <v>28311.905345828</v>
      </c>
      <c r="N111" s="18">
        <f>IF(N78&gt;0,(M111/$N$78/12),0)</f>
        <v>3.9322090758094443</v>
      </c>
    </row>
    <row r="112" spans="2:14" ht="24">
      <c r="B112" s="9">
        <v>31</v>
      </c>
      <c r="C112" s="7" t="s">
        <v>100</v>
      </c>
      <c r="D112" s="7" t="s">
        <v>46</v>
      </c>
      <c r="E112" s="11">
        <v>0.5</v>
      </c>
      <c r="F112" s="11">
        <v>1</v>
      </c>
      <c r="G112" s="14">
        <f>441.825*E112*F112</f>
        <v>220.91249999999999</v>
      </c>
      <c r="H112" s="14">
        <f>2.34657845*E112*F112</f>
        <v>1.173289225</v>
      </c>
      <c r="I112" s="14">
        <f t="shared" si="23"/>
        <v>0</v>
      </c>
      <c r="J112" s="14">
        <f>420.6174*E112*F112</f>
        <v>210.30869999999999</v>
      </c>
      <c r="K112" s="14">
        <f>90.80284273725*E112*F112</f>
        <v>45.401421368625002</v>
      </c>
      <c r="L112" s="14">
        <f>88.365*E112*F112</f>
        <v>44.182499999999997</v>
      </c>
      <c r="M112" s="14">
        <f t="shared" si="24"/>
        <v>521.97841059362497</v>
      </c>
      <c r="N112" s="18">
        <f>IF(N78&gt;0,(M112/$N$78/12),0)</f>
        <v>7.2497001471336794E-2</v>
      </c>
    </row>
    <row r="113" spans="2:14">
      <c r="B113" s="9">
        <v>32</v>
      </c>
      <c r="C113" s="7" t="s">
        <v>101</v>
      </c>
      <c r="D113" s="7" t="s">
        <v>102</v>
      </c>
      <c r="E113" s="11">
        <v>0.2</v>
      </c>
      <c r="F113" s="11">
        <v>1</v>
      </c>
      <c r="G113" s="14">
        <f>406.479*E113*F113</f>
        <v>81.2958</v>
      </c>
      <c r="H113" s="14">
        <f>1.479364675*E113*F113</f>
        <v>0.295872935</v>
      </c>
      <c r="I113" s="14">
        <f t="shared" si="23"/>
        <v>0</v>
      </c>
      <c r="J113" s="14">
        <f>386.968008*E113*F113</f>
        <v>77.393601600000011</v>
      </c>
      <c r="K113" s="14">
        <f>83.467269130875*E113*F113</f>
        <v>16.693453826174999</v>
      </c>
      <c r="L113" s="14">
        <f>81.2958*E113*F113</f>
        <v>16.259160000000001</v>
      </c>
      <c r="M113" s="14">
        <f t="shared" si="24"/>
        <v>191.93788836117503</v>
      </c>
      <c r="N113" s="18">
        <f>IF(N78&gt;0,(M113/$N$78/12),0)</f>
        <v>2.6658040050163197E-2</v>
      </c>
    </row>
    <row r="114" spans="2:14">
      <c r="B114" s="9">
        <v>33</v>
      </c>
      <c r="C114" s="7" t="s">
        <v>103</v>
      </c>
      <c r="D114" s="7" t="s">
        <v>104</v>
      </c>
      <c r="E114" s="11">
        <v>1</v>
      </c>
      <c r="F114" s="11">
        <v>1</v>
      </c>
      <c r="G114" s="14">
        <f>19.75046115*E114*F114</f>
        <v>19.75046115</v>
      </c>
      <c r="H114" s="14">
        <f>1011.0145248*E114*F114</f>
        <v>1011.0145248</v>
      </c>
      <c r="I114" s="14">
        <f t="shared" si="23"/>
        <v>0</v>
      </c>
      <c r="J114" s="14">
        <f>18.8024390148*E114*F114</f>
        <v>18.802439014800001</v>
      </c>
      <c r="K114" s="14">
        <f>110.2045796213*E114*F114</f>
        <v>110.2045796213</v>
      </c>
      <c r="L114" s="14">
        <f>3.95009223*E114*F114</f>
        <v>3.9500922300000001</v>
      </c>
      <c r="M114" s="14">
        <f t="shared" si="24"/>
        <v>1163.7220968161</v>
      </c>
      <c r="N114" s="18">
        <f>IF(N78&gt;0,(M114/$N$78/12),0)</f>
        <v>0.16162806900223611</v>
      </c>
    </row>
    <row r="115" spans="2:14">
      <c r="B115" s="9">
        <v>34</v>
      </c>
      <c r="C115" s="7" t="s">
        <v>105</v>
      </c>
      <c r="D115" s="7" t="s">
        <v>106</v>
      </c>
      <c r="E115" s="11">
        <v>1</v>
      </c>
      <c r="F115" s="11">
        <v>1</v>
      </c>
      <c r="G115" s="14">
        <f>7.86006675*E115*F115</f>
        <v>7.8600667499999997</v>
      </c>
      <c r="H115" s="14">
        <f t="shared" ref="H115:H121" si="25">0*E115*F115</f>
        <v>0</v>
      </c>
      <c r="I115" s="14">
        <f t="shared" si="23"/>
        <v>0</v>
      </c>
      <c r="J115" s="14">
        <f>7.482783546*E115*F115</f>
        <v>7.4827835460000003</v>
      </c>
      <c r="K115" s="14">
        <f>1.61099928108*E115*F115</f>
        <v>1.61099928108</v>
      </c>
      <c r="L115" s="14">
        <f>1.57201335*E115*F115</f>
        <v>1.57201335</v>
      </c>
      <c r="M115" s="14">
        <f t="shared" si="24"/>
        <v>18.525862927079999</v>
      </c>
      <c r="N115" s="18">
        <f>IF(N78&gt;0,(M115/$N$78/12),0)</f>
        <v>2.5730365176499996E-3</v>
      </c>
    </row>
    <row r="116" spans="2:14" ht="36">
      <c r="B116" s="9">
        <v>35</v>
      </c>
      <c r="C116" s="7" t="s">
        <v>49</v>
      </c>
      <c r="D116" s="7" t="s">
        <v>50</v>
      </c>
      <c r="E116" s="11">
        <v>0.04</v>
      </c>
      <c r="F116" s="11">
        <v>52</v>
      </c>
      <c r="G116" s="14">
        <f>7364.3391*E116*F116</f>
        <v>15317.825328000003</v>
      </c>
      <c r="H116" s="14">
        <f t="shared" si="25"/>
        <v>0</v>
      </c>
      <c r="I116" s="14">
        <f t="shared" si="23"/>
        <v>0</v>
      </c>
      <c r="J116" s="14">
        <f>7010.8508232*E116*F116</f>
        <v>14582.569712256001</v>
      </c>
      <c r="K116" s="14">
        <f>1509.394941936*E116*F116</f>
        <v>3139.5414792268798</v>
      </c>
      <c r="L116" s="14">
        <f>1472.86782*E116*F116</f>
        <v>3063.5650655999998</v>
      </c>
      <c r="M116" s="14">
        <f t="shared" si="24"/>
        <v>36103.501585082886</v>
      </c>
      <c r="N116" s="18">
        <f>IF(N78&gt;0,(M116/$N$78/12),0)</f>
        <v>5.0143752201504013</v>
      </c>
    </row>
    <row r="117" spans="2:14">
      <c r="B117" s="9">
        <v>36</v>
      </c>
      <c r="C117" s="7" t="s">
        <v>107</v>
      </c>
      <c r="D117" s="7" t="s">
        <v>108</v>
      </c>
      <c r="E117" s="11">
        <v>1</v>
      </c>
      <c r="F117" s="11">
        <v>1</v>
      </c>
      <c r="G117" s="14">
        <f>18.02646*E117*F117</f>
        <v>18.02646</v>
      </c>
      <c r="H117" s="14">
        <f t="shared" si="25"/>
        <v>0</v>
      </c>
      <c r="I117" s="14">
        <f t="shared" si="23"/>
        <v>0</v>
      </c>
      <c r="J117" s="14">
        <f>17.16118992*E117*F117</f>
        <v>17.161189920000002</v>
      </c>
      <c r="K117" s="14">
        <f>3.6947032416*E117*F117</f>
        <v>3.6947032416000001</v>
      </c>
      <c r="L117" s="14">
        <f>3.605292*E117*F117</f>
        <v>3.6052919999999999</v>
      </c>
      <c r="M117" s="14">
        <f t="shared" si="24"/>
        <v>42.4876451616</v>
      </c>
      <c r="N117" s="18">
        <f>IF(N78&gt;0,(M117/$N$78/12),0)</f>
        <v>5.9010618280000001E-3</v>
      </c>
    </row>
    <row r="118" spans="2:14" ht="24">
      <c r="B118" s="9">
        <v>37</v>
      </c>
      <c r="C118" s="7" t="s">
        <v>109</v>
      </c>
      <c r="D118" s="7" t="s">
        <v>52</v>
      </c>
      <c r="E118" s="11">
        <v>6</v>
      </c>
      <c r="F118" s="11">
        <v>1</v>
      </c>
      <c r="G118" s="14">
        <f>477.171*E118*F118</f>
        <v>2863.0259999999998</v>
      </c>
      <c r="H118" s="14">
        <f t="shared" si="25"/>
        <v>0</v>
      </c>
      <c r="I118" s="14">
        <f t="shared" si="23"/>
        <v>0</v>
      </c>
      <c r="J118" s="14">
        <f>454.266792*E118*F118</f>
        <v>2725.6007520000003</v>
      </c>
      <c r="K118" s="14">
        <f>97.80096816*E118*F118</f>
        <v>586.80580895999992</v>
      </c>
      <c r="L118" s="14">
        <f>95.4342*E118*F118</f>
        <v>572.60519999999997</v>
      </c>
      <c r="M118" s="14">
        <f t="shared" si="24"/>
        <v>6748.03776096</v>
      </c>
      <c r="N118" s="18">
        <f>IF(N78&gt;0,(M118/$N$78/12),0)</f>
        <v>0.93722746680000002</v>
      </c>
    </row>
    <row r="119" spans="2:14">
      <c r="B119" s="9">
        <v>38</v>
      </c>
      <c r="C119" s="7" t="s">
        <v>53</v>
      </c>
      <c r="D119" s="7" t="s">
        <v>54</v>
      </c>
      <c r="E119" s="11">
        <v>6</v>
      </c>
      <c r="F119" s="11">
        <v>1</v>
      </c>
      <c r="G119" s="14">
        <f>212.076*E119*F119</f>
        <v>1272.4559999999999</v>
      </c>
      <c r="H119" s="14">
        <f t="shared" si="25"/>
        <v>0</v>
      </c>
      <c r="I119" s="14">
        <f t="shared" si="23"/>
        <v>0</v>
      </c>
      <c r="J119" s="14">
        <f>201.896352*E119*F119</f>
        <v>1211.3781120000001</v>
      </c>
      <c r="K119" s="14">
        <f>43.46709696*E119*F119</f>
        <v>260.80258176000001</v>
      </c>
      <c r="L119" s="14">
        <f>42.4152*E119*F119</f>
        <v>254.49119999999999</v>
      </c>
      <c r="M119" s="14">
        <f t="shared" si="24"/>
        <v>2999.12789376</v>
      </c>
      <c r="N119" s="18">
        <f>IF(N78&gt;0,(M119/$N$78/12),0)</f>
        <v>0.4165455408</v>
      </c>
    </row>
    <row r="120" spans="2:14" ht="24">
      <c r="B120" s="9">
        <v>39</v>
      </c>
      <c r="C120" s="7" t="s">
        <v>110</v>
      </c>
      <c r="D120" s="7" t="s">
        <v>111</v>
      </c>
      <c r="E120" s="11">
        <v>0.2</v>
      </c>
      <c r="F120" s="11">
        <v>1</v>
      </c>
      <c r="G120" s="14">
        <f>243.8874*E120*F120</f>
        <v>48.777480000000004</v>
      </c>
      <c r="H120" s="14">
        <f t="shared" si="25"/>
        <v>0</v>
      </c>
      <c r="I120" s="14">
        <f t="shared" si="23"/>
        <v>0</v>
      </c>
      <c r="J120" s="14">
        <f>232.1808048*E120*F120</f>
        <v>46.436160960000002</v>
      </c>
      <c r="K120" s="14">
        <f>49.987161504*E120*F120</f>
        <v>9.9974323007999999</v>
      </c>
      <c r="L120" s="14">
        <f>48.77748*E120*F120</f>
        <v>9.7554960000000008</v>
      </c>
      <c r="M120" s="14">
        <f t="shared" si="24"/>
        <v>114.96656926080001</v>
      </c>
      <c r="N120" s="18">
        <f>IF(N78&gt;0,(M120/$N$78/12),0)</f>
        <v>1.5967579064000002E-2</v>
      </c>
    </row>
    <row r="121" spans="2:14">
      <c r="B121" s="9">
        <v>40</v>
      </c>
      <c r="C121" s="7" t="s">
        <v>112</v>
      </c>
      <c r="D121" s="7" t="s">
        <v>111</v>
      </c>
      <c r="E121" s="11">
        <v>0.12</v>
      </c>
      <c r="F121" s="11">
        <v>1</v>
      </c>
      <c r="G121" s="14">
        <f>1060.38*E121*F121</f>
        <v>127.24560000000001</v>
      </c>
      <c r="H121" s="14">
        <f t="shared" si="25"/>
        <v>0</v>
      </c>
      <c r="I121" s="14">
        <f t="shared" si="23"/>
        <v>0</v>
      </c>
      <c r="J121" s="14">
        <f>1009.48176*E121*F121</f>
        <v>121.1378112</v>
      </c>
      <c r="K121" s="14">
        <f>217.3354848*E121*F121</f>
        <v>26.080258175999997</v>
      </c>
      <c r="L121" s="14">
        <f>212.076*E121*F121</f>
        <v>25.449119999999997</v>
      </c>
      <c r="M121" s="14">
        <f t="shared" si="24"/>
        <v>299.91278937599998</v>
      </c>
      <c r="N121" s="18">
        <f>IF(N78&gt;0,(M121/$N$78/12),0)</f>
        <v>4.1654554079999996E-2</v>
      </c>
    </row>
    <row r="122" spans="2:14">
      <c r="B122" s="9">
        <v>41</v>
      </c>
      <c r="C122" s="7" t="s">
        <v>113</v>
      </c>
      <c r="D122" s="7" t="s">
        <v>114</v>
      </c>
      <c r="E122" s="11">
        <v>0.12</v>
      </c>
      <c r="F122" s="11">
        <v>1</v>
      </c>
      <c r="G122" s="14">
        <f>429.4539*E122*F122</f>
        <v>51.534467999999997</v>
      </c>
      <c r="H122" s="14">
        <f>2.295565875*E122*F122</f>
        <v>0.27546790499999996</v>
      </c>
      <c r="I122" s="14">
        <f t="shared" si="23"/>
        <v>0</v>
      </c>
      <c r="J122" s="14">
        <f>408.8401128*E122*F122</f>
        <v>49.060813535999998</v>
      </c>
      <c r="K122" s="14">
        <f>88.261905760875*E122*F122</f>
        <v>10.591428691305</v>
      </c>
      <c r="L122" s="14">
        <f>85.89078*E122*F122</f>
        <v>10.3068936</v>
      </c>
      <c r="M122" s="14">
        <f t="shared" si="24"/>
        <v>121.76907173230498</v>
      </c>
      <c r="N122" s="18">
        <f>IF(N78&gt;0,(M122/$N$78/12),0)</f>
        <v>1.6912371073931249E-2</v>
      </c>
    </row>
    <row r="123" spans="2:14" ht="12.75">
      <c r="B123" s="56" t="s">
        <v>43</v>
      </c>
      <c r="C123" s="57"/>
      <c r="D123" s="57"/>
      <c r="E123" s="58"/>
      <c r="F123" s="58"/>
      <c r="G123" s="22">
        <f t="shared" ref="G123:N123" si="26">SUM(G110:G122)</f>
        <v>36147.003982800001</v>
      </c>
      <c r="H123" s="22">
        <f t="shared" si="26"/>
        <v>2707.5270348649997</v>
      </c>
      <c r="I123" s="22">
        <f t="shared" si="26"/>
        <v>0</v>
      </c>
      <c r="J123" s="22">
        <f t="shared" si="26"/>
        <v>34411.947791625607</v>
      </c>
      <c r="K123" s="22">
        <f t="shared" si="26"/>
        <v>7692.9802749755081</v>
      </c>
      <c r="L123" s="22">
        <f t="shared" si="26"/>
        <v>7229.4007965600003</v>
      </c>
      <c r="M123" s="22">
        <f t="shared" si="26"/>
        <v>88188.859880826101</v>
      </c>
      <c r="N123" s="18">
        <f t="shared" si="26"/>
        <v>12.248452761225852</v>
      </c>
    </row>
    <row r="124" spans="2:14" ht="27.95" customHeight="1">
      <c r="B124" s="59" t="s">
        <v>55</v>
      </c>
      <c r="C124" s="60"/>
      <c r="D124" s="60"/>
      <c r="E124" s="61"/>
      <c r="F124" s="61"/>
      <c r="G124" s="23">
        <f t="shared" ref="G124:N124" si="27">G108+G123</f>
        <v>71125.470089799637</v>
      </c>
      <c r="H124" s="23">
        <f t="shared" si="27"/>
        <v>6614.0299527418192</v>
      </c>
      <c r="I124" s="23">
        <f t="shared" si="27"/>
        <v>0</v>
      </c>
      <c r="J124" s="23">
        <f t="shared" si="27"/>
        <v>67711.44752548926</v>
      </c>
      <c r="K124" s="23">
        <f t="shared" si="27"/>
        <v>15272.349494643197</v>
      </c>
      <c r="L124" s="23">
        <f t="shared" si="27"/>
        <v>14225.094017959926</v>
      </c>
      <c r="M124" s="23">
        <f t="shared" si="27"/>
        <v>174948.3910806338</v>
      </c>
      <c r="N124" s="24">
        <f t="shared" si="27"/>
        <v>24.298387650088038</v>
      </c>
    </row>
    <row r="125" spans="2:14" ht="24.95" customHeight="1">
      <c r="B125" s="66" t="s">
        <v>115</v>
      </c>
      <c r="C125" s="67"/>
      <c r="D125" s="67"/>
      <c r="E125" s="68"/>
      <c r="F125" s="68"/>
      <c r="G125" s="69"/>
      <c r="H125" s="69"/>
      <c r="I125" s="69"/>
      <c r="J125" s="69"/>
      <c r="K125" s="69"/>
      <c r="L125" s="70" t="s">
        <v>15</v>
      </c>
      <c r="M125" s="70"/>
      <c r="N125" s="26">
        <v>300</v>
      </c>
    </row>
    <row r="126" spans="2:14" ht="21.95" customHeight="1">
      <c r="B126" s="51" t="s">
        <v>16</v>
      </c>
      <c r="C126" s="52"/>
      <c r="D126" s="52"/>
      <c r="E126" s="53"/>
      <c r="F126" s="53"/>
      <c r="G126" s="54"/>
      <c r="H126" s="54"/>
      <c r="I126" s="54"/>
      <c r="J126" s="54"/>
      <c r="K126" s="54"/>
      <c r="L126" s="54"/>
      <c r="M126" s="54"/>
      <c r="N126" s="55"/>
    </row>
    <row r="127" spans="2:14">
      <c r="B127" s="9">
        <v>1</v>
      </c>
      <c r="C127" s="7" t="s">
        <v>116</v>
      </c>
      <c r="D127" s="7" t="s">
        <v>117</v>
      </c>
      <c r="E127" s="11">
        <v>16</v>
      </c>
      <c r="F127" s="11">
        <v>1</v>
      </c>
      <c r="G127" s="14">
        <f>9.4585896*E127*F127</f>
        <v>151.3374336</v>
      </c>
      <c r="H127" s="14">
        <f>0*E127*F127</f>
        <v>0</v>
      </c>
      <c r="I127" s="14">
        <f t="shared" ref="I127:I160" si="28">0*E127*F127</f>
        <v>0</v>
      </c>
      <c r="J127" s="14">
        <f>9.0045772992*E127*F127</f>
        <v>144.07323678719999</v>
      </c>
      <c r="K127" s="14">
        <f>1.938632524416*E127*F127</f>
        <v>31.018120390656001</v>
      </c>
      <c r="L127" s="14">
        <f>1.89171792*E127*F127</f>
        <v>30.267486720000001</v>
      </c>
      <c r="M127" s="14">
        <f t="shared" ref="M127:M160" si="29">SUM(G127:L127)</f>
        <v>356.69627749785599</v>
      </c>
      <c r="N127" s="18">
        <f>IF(N125&gt;0,(M127/$N$125/12),0)</f>
        <v>9.908229930496E-2</v>
      </c>
    </row>
    <row r="128" spans="2:14" ht="24">
      <c r="B128" s="9">
        <v>2</v>
      </c>
      <c r="C128" s="7" t="s">
        <v>118</v>
      </c>
      <c r="D128" s="7" t="s">
        <v>119</v>
      </c>
      <c r="E128" s="11">
        <v>25</v>
      </c>
      <c r="F128" s="11">
        <v>1</v>
      </c>
      <c r="G128" s="14">
        <f>13.4226435*E128*F128</f>
        <v>335.56608749999998</v>
      </c>
      <c r="H128" s="14">
        <f>0*E128*F128</f>
        <v>0</v>
      </c>
      <c r="I128" s="14">
        <f t="shared" si="28"/>
        <v>0</v>
      </c>
      <c r="J128" s="14">
        <f>12.778356612*E128*F128</f>
        <v>319.4589153</v>
      </c>
      <c r="K128" s="14">
        <f>2.75110501176*E128*F128</f>
        <v>68.777625294000003</v>
      </c>
      <c r="L128" s="14">
        <f>2.6845287*E128*F128</f>
        <v>67.113217500000005</v>
      </c>
      <c r="M128" s="14">
        <f t="shared" si="29"/>
        <v>790.91584559400007</v>
      </c>
      <c r="N128" s="18">
        <f>IF(N125&gt;0,(M128/$N$125/12),0)</f>
        <v>0.21969884599833334</v>
      </c>
    </row>
    <row r="129" spans="2:14">
      <c r="B129" s="9">
        <v>3</v>
      </c>
      <c r="C129" s="7" t="s">
        <v>120</v>
      </c>
      <c r="D129" s="7" t="s">
        <v>121</v>
      </c>
      <c r="E129" s="11">
        <v>25</v>
      </c>
      <c r="F129" s="11">
        <v>1</v>
      </c>
      <c r="G129" s="14">
        <f>53.690574*E129*F129</f>
        <v>1342.2643499999999</v>
      </c>
      <c r="H129" s="14">
        <f>0*E129*F129</f>
        <v>0</v>
      </c>
      <c r="I129" s="14">
        <f t="shared" si="28"/>
        <v>0</v>
      </c>
      <c r="J129" s="14">
        <f>51.113426448*E129*F129</f>
        <v>1277.8356612</v>
      </c>
      <c r="K129" s="14">
        <f>11.00442004704*E129*F129</f>
        <v>275.11050117600001</v>
      </c>
      <c r="L129" s="14">
        <f>10.7381148*E129*F129</f>
        <v>268.45287000000002</v>
      </c>
      <c r="M129" s="14">
        <f t="shared" si="29"/>
        <v>3163.6633823760003</v>
      </c>
      <c r="N129" s="18">
        <f>IF(N125&gt;0,(M129/$N$125/12),0)</f>
        <v>0.87879538399333335</v>
      </c>
    </row>
    <row r="130" spans="2:14" ht="48">
      <c r="B130" s="9">
        <v>4</v>
      </c>
      <c r="C130" s="7" t="s">
        <v>122</v>
      </c>
      <c r="D130" s="7" t="s">
        <v>123</v>
      </c>
      <c r="E130" s="11">
        <v>16</v>
      </c>
      <c r="F130" s="11">
        <v>1</v>
      </c>
      <c r="G130" s="14">
        <f>49.6575954*E130*F130</f>
        <v>794.52152639999997</v>
      </c>
      <c r="H130" s="14">
        <f>0*E130*F130</f>
        <v>0</v>
      </c>
      <c r="I130" s="14">
        <f t="shared" si="28"/>
        <v>0</v>
      </c>
      <c r="J130" s="14">
        <f>47.2740308208*E130*F130</f>
        <v>756.3844931328</v>
      </c>
      <c r="K130" s="14">
        <f>10.177820753184*E130*F130</f>
        <v>162.84513205094399</v>
      </c>
      <c r="L130" s="14">
        <f>9.93151908*E130*F130</f>
        <v>158.90430527999999</v>
      </c>
      <c r="M130" s="14">
        <f t="shared" si="29"/>
        <v>1872.6554568637439</v>
      </c>
      <c r="N130" s="18">
        <f>IF(N125&gt;0,(M130/$N$125/12),0)</f>
        <v>0.52018207135104</v>
      </c>
    </row>
    <row r="131" spans="2:14" ht="36">
      <c r="B131" s="9">
        <v>5</v>
      </c>
      <c r="C131" s="7" t="s">
        <v>124</v>
      </c>
      <c r="D131" s="7" t="s">
        <v>125</v>
      </c>
      <c r="E131" s="11">
        <v>8</v>
      </c>
      <c r="F131" s="11">
        <v>1</v>
      </c>
      <c r="G131" s="14">
        <f>3.835041*E131*F131</f>
        <v>30.680327999999999</v>
      </c>
      <c r="H131" s="14">
        <f>0*E131*F131</f>
        <v>0</v>
      </c>
      <c r="I131" s="14">
        <f t="shared" si="28"/>
        <v>0</v>
      </c>
      <c r="J131" s="14">
        <f>3.650959032*E131*F131</f>
        <v>29.207672255999999</v>
      </c>
      <c r="K131" s="14">
        <f>0.78603000336*E131*F131</f>
        <v>6.2882400268799996</v>
      </c>
      <c r="L131" s="14">
        <f>0.7670082*E131*F131</f>
        <v>6.1360656000000002</v>
      </c>
      <c r="M131" s="14">
        <f t="shared" si="29"/>
        <v>72.312305882879997</v>
      </c>
      <c r="N131" s="18">
        <f>IF(N125&gt;0,(M131/$N$125/12),0)</f>
        <v>2.0086751634133333E-2</v>
      </c>
    </row>
    <row r="132" spans="2:14" ht="24">
      <c r="B132" s="9">
        <v>6</v>
      </c>
      <c r="C132" s="7" t="s">
        <v>76</v>
      </c>
      <c r="D132" s="7" t="s">
        <v>77</v>
      </c>
      <c r="E132" s="11">
        <v>1</v>
      </c>
      <c r="F132" s="11">
        <v>1</v>
      </c>
      <c r="G132" s="14">
        <f>28.763692487846*E132*F132</f>
        <v>28.763692487846001</v>
      </c>
      <c r="H132" s="14">
        <f>328.50591278152*E132*F132</f>
        <v>328.50591278152001</v>
      </c>
      <c r="I132" s="14">
        <f t="shared" si="28"/>
        <v>0</v>
      </c>
      <c r="J132" s="14">
        <f>27.383035248429*E132*F132</f>
        <v>27.383035248429</v>
      </c>
      <c r="K132" s="14">
        <f>40.388527254368*E132*F132</f>
        <v>40.388527254368</v>
      </c>
      <c r="L132" s="14">
        <f>5.7527384975692*E132*F132</f>
        <v>5.7527384975692</v>
      </c>
      <c r="M132" s="14">
        <f t="shared" si="29"/>
        <v>430.79390626973225</v>
      </c>
      <c r="N132" s="18">
        <f>IF(N125&gt;0,(M132/$N$125/12),0)</f>
        <v>0.11966497396381452</v>
      </c>
    </row>
    <row r="133" spans="2:14">
      <c r="B133" s="9">
        <v>7</v>
      </c>
      <c r="C133" s="7" t="s">
        <v>78</v>
      </c>
      <c r="D133" s="7" t="s">
        <v>79</v>
      </c>
      <c r="E133" s="11">
        <v>0.1</v>
      </c>
      <c r="F133" s="11">
        <v>1</v>
      </c>
      <c r="G133" s="14">
        <f>4615.569045*E133*F133</f>
        <v>461.55690450000003</v>
      </c>
      <c r="H133" s="14">
        <f>13663.902655643*E133*F133</f>
        <v>1366.3902655643001</v>
      </c>
      <c r="I133" s="14">
        <f t="shared" si="28"/>
        <v>0</v>
      </c>
      <c r="J133" s="14">
        <f>4394.02173084*E133*F133</f>
        <v>439.40217308399997</v>
      </c>
      <c r="K133" s="14">
        <f>2380.7168103057*E133*F133</f>
        <v>238.07168103057003</v>
      </c>
      <c r="L133" s="14">
        <f>923.113809*E133*F133</f>
        <v>92.311380900000003</v>
      </c>
      <c r="M133" s="14">
        <f t="shared" si="29"/>
        <v>2597.7324050788702</v>
      </c>
      <c r="N133" s="18">
        <f>IF(N125&gt;0,(M133/$N$125/12),0)</f>
        <v>0.72159233474413054</v>
      </c>
    </row>
    <row r="134" spans="2:14" ht="24">
      <c r="B134" s="9">
        <v>8</v>
      </c>
      <c r="C134" s="7" t="s">
        <v>80</v>
      </c>
      <c r="D134" s="7" t="s">
        <v>18</v>
      </c>
      <c r="E134" s="11">
        <v>0.3</v>
      </c>
      <c r="F134" s="11">
        <v>1</v>
      </c>
      <c r="G134" s="14">
        <f>4871.173644*E134*F134</f>
        <v>1461.3520932000001</v>
      </c>
      <c r="H134" s="14">
        <f>2802.81742356*E134*F134</f>
        <v>840.84522706799999</v>
      </c>
      <c r="I134" s="14">
        <f t="shared" si="28"/>
        <v>0</v>
      </c>
      <c r="J134" s="14">
        <f>4637.357309088*E134*F134</f>
        <v>1391.2071927263999</v>
      </c>
      <c r="K134" s="14">
        <f>1292.691579548*E134*F134</f>
        <v>387.80747386439998</v>
      </c>
      <c r="L134" s="14">
        <f>974.2347288*E134*F134</f>
        <v>292.27041864</v>
      </c>
      <c r="M134" s="14">
        <f t="shared" si="29"/>
        <v>4373.4824054987994</v>
      </c>
      <c r="N134" s="18">
        <f>IF(N125&gt;0,(M134/$N$125/12),0)</f>
        <v>1.2148562237496665</v>
      </c>
    </row>
    <row r="135" spans="2:14" ht="24">
      <c r="B135" s="9">
        <v>9</v>
      </c>
      <c r="C135" s="7" t="s">
        <v>17</v>
      </c>
      <c r="D135" s="7" t="s">
        <v>18</v>
      </c>
      <c r="E135" s="11">
        <v>0.3</v>
      </c>
      <c r="F135" s="11">
        <v>1</v>
      </c>
      <c r="G135" s="14">
        <f>81.7446942*E135*F135</f>
        <v>24.52340826</v>
      </c>
      <c r="H135" s="14">
        <f t="shared" ref="H135:H144" si="30">0*E135*F135</f>
        <v>0</v>
      </c>
      <c r="I135" s="14">
        <f t="shared" si="28"/>
        <v>0</v>
      </c>
      <c r="J135" s="14">
        <f>77.8209488784*E135*F135</f>
        <v>23.346284663519999</v>
      </c>
      <c r="K135" s="14">
        <f>16.754392523232*E135*F135</f>
        <v>5.0263177569695996</v>
      </c>
      <c r="L135" s="14">
        <f>16.34893884*E135*F135</f>
        <v>4.9046816519999998</v>
      </c>
      <c r="M135" s="14">
        <f t="shared" si="29"/>
        <v>57.800692332489596</v>
      </c>
      <c r="N135" s="18">
        <f>IF(N125&gt;0,(M135/$N$125/12),0)</f>
        <v>1.6055747870136E-2</v>
      </c>
    </row>
    <row r="136" spans="2:14" ht="24">
      <c r="B136" s="9">
        <v>10</v>
      </c>
      <c r="C136" s="7" t="s">
        <v>57</v>
      </c>
      <c r="D136" s="7" t="s">
        <v>18</v>
      </c>
      <c r="E136" s="11">
        <v>0.3</v>
      </c>
      <c r="F136" s="11">
        <v>1</v>
      </c>
      <c r="G136" s="14">
        <f>651.8615358*E136*F136</f>
        <v>195.55846073999999</v>
      </c>
      <c r="H136" s="14">
        <f t="shared" si="30"/>
        <v>0</v>
      </c>
      <c r="I136" s="14">
        <f t="shared" si="28"/>
        <v>0</v>
      </c>
      <c r="J136" s="14">
        <f>620.5721820816*E136*F136</f>
        <v>186.17165462448</v>
      </c>
      <c r="K136" s="14">
        <f>133.60554037757*E136*F136</f>
        <v>40.081662113271001</v>
      </c>
      <c r="L136" s="14">
        <f>130.37230716*E136*F136</f>
        <v>39.111692147999996</v>
      </c>
      <c r="M136" s="14">
        <f t="shared" si="29"/>
        <v>460.92346962575095</v>
      </c>
      <c r="N136" s="18">
        <f>IF(N125&gt;0,(M136/$N$125/12),0)</f>
        <v>0.12803429711826417</v>
      </c>
    </row>
    <row r="137" spans="2:14" ht="24">
      <c r="B137" s="9">
        <v>11</v>
      </c>
      <c r="C137" s="7" t="s">
        <v>19</v>
      </c>
      <c r="D137" s="7" t="s">
        <v>18</v>
      </c>
      <c r="E137" s="11">
        <v>0.3</v>
      </c>
      <c r="F137" s="11">
        <v>1</v>
      </c>
      <c r="G137" s="14">
        <f>2317.354452*E137*F137</f>
        <v>695.20633559999999</v>
      </c>
      <c r="H137" s="14">
        <f t="shared" si="30"/>
        <v>0</v>
      </c>
      <c r="I137" s="14">
        <f t="shared" si="28"/>
        <v>0</v>
      </c>
      <c r="J137" s="14">
        <f>2206.121438304*E137*F137</f>
        <v>661.83643149119996</v>
      </c>
      <c r="K137" s="14">
        <f>474.96496848192*E137*F137</f>
        <v>142.489490544576</v>
      </c>
      <c r="L137" s="14">
        <f>463.4708904*E137*F137</f>
        <v>139.04126711999999</v>
      </c>
      <c r="M137" s="14">
        <f t="shared" si="29"/>
        <v>1638.5735247557759</v>
      </c>
      <c r="N137" s="18">
        <f>IF(N125&gt;0,(M137/$N$125/12),0)</f>
        <v>0.45515931243215996</v>
      </c>
    </row>
    <row r="138" spans="2:14" ht="24">
      <c r="B138" s="9">
        <v>12</v>
      </c>
      <c r="C138" s="7" t="s">
        <v>20</v>
      </c>
      <c r="D138" s="7" t="s">
        <v>18</v>
      </c>
      <c r="E138" s="11">
        <v>0.3</v>
      </c>
      <c r="F138" s="11">
        <v>1</v>
      </c>
      <c r="G138" s="14">
        <f>591.16185*E138*F138</f>
        <v>177.34855499999998</v>
      </c>
      <c r="H138" s="14">
        <f t="shared" si="30"/>
        <v>0</v>
      </c>
      <c r="I138" s="14">
        <f t="shared" si="28"/>
        <v>0</v>
      </c>
      <c r="J138" s="14">
        <f>562.7860812*E138*F138</f>
        <v>168.83582436</v>
      </c>
      <c r="K138" s="14">
        <f>121.164532776*E138*F138</f>
        <v>36.349359832799998</v>
      </c>
      <c r="L138" s="14">
        <f>118.23237*E138*F138</f>
        <v>35.469710999999997</v>
      </c>
      <c r="M138" s="14">
        <f t="shared" si="29"/>
        <v>418.00345019280002</v>
      </c>
      <c r="N138" s="18">
        <f>IF(N125&gt;0,(M138/$N$125/12),0)</f>
        <v>0.116112069498</v>
      </c>
    </row>
    <row r="139" spans="2:14">
      <c r="B139" s="9">
        <v>13</v>
      </c>
      <c r="C139" s="7" t="s">
        <v>21</v>
      </c>
      <c r="D139" s="7" t="s">
        <v>22</v>
      </c>
      <c r="E139" s="11">
        <v>0.3</v>
      </c>
      <c r="F139" s="11">
        <v>1</v>
      </c>
      <c r="G139" s="14">
        <f>496.575954*E139*F139</f>
        <v>148.9727862</v>
      </c>
      <c r="H139" s="14">
        <f t="shared" si="30"/>
        <v>0</v>
      </c>
      <c r="I139" s="14">
        <f t="shared" si="28"/>
        <v>0</v>
      </c>
      <c r="J139" s="14">
        <f>472.740308208*E139*F139</f>
        <v>141.82209246239998</v>
      </c>
      <c r="K139" s="14">
        <f>101.77820753184*E139*F139</f>
        <v>30.533462259551996</v>
      </c>
      <c r="L139" s="14">
        <f>99.3151908*E139*F139</f>
        <v>29.794557239999996</v>
      </c>
      <c r="M139" s="14">
        <f t="shared" si="29"/>
        <v>351.12289816195198</v>
      </c>
      <c r="N139" s="18">
        <f>IF(N125&gt;0,(M139/$N$125/12),0)</f>
        <v>9.7534138378319993E-2</v>
      </c>
    </row>
    <row r="140" spans="2:14" ht="24">
      <c r="B140" s="9">
        <v>14</v>
      </c>
      <c r="C140" s="7" t="s">
        <v>23</v>
      </c>
      <c r="D140" s="7" t="s">
        <v>18</v>
      </c>
      <c r="E140" s="11">
        <v>0.3</v>
      </c>
      <c r="F140" s="11">
        <v>1</v>
      </c>
      <c r="G140" s="14">
        <f>945.85896*E140*F140</f>
        <v>283.75768799999997</v>
      </c>
      <c r="H140" s="14">
        <f t="shared" si="30"/>
        <v>0</v>
      </c>
      <c r="I140" s="14">
        <f t="shared" si="28"/>
        <v>0</v>
      </c>
      <c r="J140" s="14">
        <f>900.45772992*E140*F140</f>
        <v>270.13731897600002</v>
      </c>
      <c r="K140" s="14">
        <f>193.8632524416*E140*F140</f>
        <v>58.158975732479995</v>
      </c>
      <c r="L140" s="14">
        <f>189.171792*E140*F140</f>
        <v>56.751537599999999</v>
      </c>
      <c r="M140" s="14">
        <f t="shared" si="29"/>
        <v>668.80552030848003</v>
      </c>
      <c r="N140" s="18">
        <f>IF(N125&gt;0,(M140/$N$125/12),0)</f>
        <v>0.18577931119680002</v>
      </c>
    </row>
    <row r="141" spans="2:14" ht="24">
      <c r="B141" s="9">
        <v>15</v>
      </c>
      <c r="C141" s="7" t="s">
        <v>24</v>
      </c>
      <c r="D141" s="7" t="s">
        <v>18</v>
      </c>
      <c r="E141" s="11">
        <v>0.3</v>
      </c>
      <c r="F141" s="11">
        <v>1</v>
      </c>
      <c r="G141" s="14">
        <f>709.39422*E141*F141</f>
        <v>212.81826599999999</v>
      </c>
      <c r="H141" s="14">
        <f t="shared" si="30"/>
        <v>0</v>
      </c>
      <c r="I141" s="14">
        <f t="shared" si="28"/>
        <v>0</v>
      </c>
      <c r="J141" s="14">
        <f>675.34329744*E141*F141</f>
        <v>202.602989232</v>
      </c>
      <c r="K141" s="14">
        <f>145.3974393312*E141*F141</f>
        <v>43.619231799359994</v>
      </c>
      <c r="L141" s="14">
        <f>141.878844*E141*F141</f>
        <v>42.563653199999997</v>
      </c>
      <c r="M141" s="14">
        <f t="shared" si="29"/>
        <v>501.60414023136002</v>
      </c>
      <c r="N141" s="18">
        <f>IF(N125&gt;0,(M141/$N$125/12),0)</f>
        <v>0.13933448339759999</v>
      </c>
    </row>
    <row r="142" spans="2:14" ht="24">
      <c r="B142" s="9">
        <v>16</v>
      </c>
      <c r="C142" s="7" t="s">
        <v>126</v>
      </c>
      <c r="D142" s="7" t="s">
        <v>26</v>
      </c>
      <c r="E142" s="11">
        <v>0.3</v>
      </c>
      <c r="F142" s="11">
        <v>1</v>
      </c>
      <c r="G142" s="14">
        <f>614.808324*E142*F142</f>
        <v>184.44249719999999</v>
      </c>
      <c r="H142" s="14">
        <f t="shared" si="30"/>
        <v>0</v>
      </c>
      <c r="I142" s="14">
        <f t="shared" si="28"/>
        <v>0</v>
      </c>
      <c r="J142" s="14">
        <f>585.297524448*E142*F142</f>
        <v>175.5892573344</v>
      </c>
      <c r="K142" s="14">
        <f>126.01111408704*E142*F142</f>
        <v>37.803334226112</v>
      </c>
      <c r="L142" s="14">
        <f>122.9616648*E142*F142</f>
        <v>36.888499439999997</v>
      </c>
      <c r="M142" s="14">
        <f t="shared" si="29"/>
        <v>434.72358820051193</v>
      </c>
      <c r="N142" s="18">
        <f>IF(N125&gt;0,(M142/$N$125/12),0)</f>
        <v>0.12075655227791998</v>
      </c>
    </row>
    <row r="143" spans="2:14" ht="24">
      <c r="B143" s="9">
        <v>17</v>
      </c>
      <c r="C143" s="7" t="s">
        <v>84</v>
      </c>
      <c r="D143" s="7" t="s">
        <v>85</v>
      </c>
      <c r="E143" s="11">
        <v>0.08</v>
      </c>
      <c r="F143" s="11">
        <v>1</v>
      </c>
      <c r="G143" s="14">
        <f>14187.8844*E143*F143</f>
        <v>1135.0307520000001</v>
      </c>
      <c r="H143" s="14">
        <f t="shared" si="30"/>
        <v>0</v>
      </c>
      <c r="I143" s="14">
        <f t="shared" si="28"/>
        <v>0</v>
      </c>
      <c r="J143" s="14">
        <f>13506.8659488*E143*F143</f>
        <v>1080.5492759040001</v>
      </c>
      <c r="K143" s="14">
        <f>2907.948786624*E143*F143</f>
        <v>232.63590292992001</v>
      </c>
      <c r="L143" s="14">
        <f>2837.57688*E143*F143</f>
        <v>227.00615040000002</v>
      </c>
      <c r="M143" s="14">
        <f t="shared" si="29"/>
        <v>2675.2220812339206</v>
      </c>
      <c r="N143" s="18">
        <f>IF(N125&gt;0,(M143/$N$125/12),0)</f>
        <v>0.74311724478720009</v>
      </c>
    </row>
    <row r="144" spans="2:14">
      <c r="B144" s="9">
        <v>18</v>
      </c>
      <c r="C144" s="7" t="s">
        <v>86</v>
      </c>
      <c r="D144" s="7" t="s">
        <v>87</v>
      </c>
      <c r="E144" s="11">
        <v>18</v>
      </c>
      <c r="F144" s="11">
        <v>1</v>
      </c>
      <c r="G144" s="14">
        <f>205.7243238*E144*F144</f>
        <v>3703.0378284000003</v>
      </c>
      <c r="H144" s="14">
        <f t="shared" si="30"/>
        <v>0</v>
      </c>
      <c r="I144" s="14">
        <f t="shared" si="28"/>
        <v>0</v>
      </c>
      <c r="J144" s="14">
        <f>195.8495562576*E144*F144</f>
        <v>3525.2920126367999</v>
      </c>
      <c r="K144" s="14">
        <f>42.165257406048*E144*F144</f>
        <v>758.97463330886399</v>
      </c>
      <c r="L144" s="14">
        <f>41.14486476*E144*F144</f>
        <v>740.60756567999999</v>
      </c>
      <c r="M144" s="14">
        <f t="shared" si="29"/>
        <v>8727.9120400256652</v>
      </c>
      <c r="N144" s="18">
        <f>IF(N125&gt;0,(M144/$N$125/12),0)</f>
        <v>2.4244200111182406</v>
      </c>
    </row>
    <row r="145" spans="2:14" ht="36">
      <c r="B145" s="9">
        <v>19</v>
      </c>
      <c r="C145" s="7" t="s">
        <v>88</v>
      </c>
      <c r="D145" s="7" t="s">
        <v>89</v>
      </c>
      <c r="E145" s="11">
        <v>0.2</v>
      </c>
      <c r="F145" s="11">
        <v>1</v>
      </c>
      <c r="G145" s="14">
        <f>7425.045855*E145*F145</f>
        <v>1485.0091710000002</v>
      </c>
      <c r="H145" s="14">
        <f>594.4391865*E145*F145</f>
        <v>118.8878373</v>
      </c>
      <c r="I145" s="14">
        <f t="shared" si="28"/>
        <v>0</v>
      </c>
      <c r="J145" s="14">
        <f>7068.64365396*E145*F145</f>
        <v>1413.7287307920001</v>
      </c>
      <c r="K145" s="14">
        <f>1584.2535130233*E145*F145</f>
        <v>316.85070260466</v>
      </c>
      <c r="L145" s="14">
        <f>1485.009171*E145*F145</f>
        <v>297.00183420000002</v>
      </c>
      <c r="M145" s="14">
        <f t="shared" si="29"/>
        <v>3631.4782758966599</v>
      </c>
      <c r="N145" s="18">
        <f>IF(N125&gt;0,(M145/$N$125/12),0)</f>
        <v>1.00874396552685</v>
      </c>
    </row>
    <row r="146" spans="2:14" ht="24">
      <c r="B146" s="9">
        <v>20</v>
      </c>
      <c r="C146" s="7" t="s">
        <v>90</v>
      </c>
      <c r="D146" s="7" t="s">
        <v>18</v>
      </c>
      <c r="E146" s="11">
        <v>0.3</v>
      </c>
      <c r="F146" s="11">
        <v>1</v>
      </c>
      <c r="G146" s="14">
        <f>880.327476*E146*F146</f>
        <v>264.09824279999998</v>
      </c>
      <c r="H146" s="14">
        <f>0*E146*F146</f>
        <v>0</v>
      </c>
      <c r="I146" s="14">
        <f t="shared" si="28"/>
        <v>0</v>
      </c>
      <c r="J146" s="14">
        <f>838.071757152*E146*F146</f>
        <v>251.42152714560001</v>
      </c>
      <c r="K146" s="14">
        <f>180.43191948096*E146*F146</f>
        <v>54.129575844287999</v>
      </c>
      <c r="L146" s="14">
        <f>176.0654952*E146*F146</f>
        <v>52.819648559999997</v>
      </c>
      <c r="M146" s="14">
        <f t="shared" si="29"/>
        <v>622.46899434988802</v>
      </c>
      <c r="N146" s="18">
        <f>IF(N125&gt;0,(M146/$N$125/12),0)</f>
        <v>0.17290805398608</v>
      </c>
    </row>
    <row r="147" spans="2:14" ht="24">
      <c r="B147" s="9">
        <v>21</v>
      </c>
      <c r="C147" s="7" t="s">
        <v>91</v>
      </c>
      <c r="D147" s="7" t="s">
        <v>18</v>
      </c>
      <c r="E147" s="11">
        <v>0.3</v>
      </c>
      <c r="F147" s="11">
        <v>1</v>
      </c>
      <c r="G147" s="14">
        <f>880.327476*E147*F147</f>
        <v>264.09824279999998</v>
      </c>
      <c r="H147" s="14">
        <f>0*E147*F147</f>
        <v>0</v>
      </c>
      <c r="I147" s="14">
        <f t="shared" si="28"/>
        <v>0</v>
      </c>
      <c r="J147" s="14">
        <f>838.071757152*E147*F147</f>
        <v>251.42152714560001</v>
      </c>
      <c r="K147" s="14">
        <f>180.43191948096*E147*F147</f>
        <v>54.129575844287999</v>
      </c>
      <c r="L147" s="14">
        <f>176.0654952*E147*F147</f>
        <v>52.819648559999997</v>
      </c>
      <c r="M147" s="14">
        <f t="shared" si="29"/>
        <v>622.46899434988802</v>
      </c>
      <c r="N147" s="18">
        <f>IF(N125&gt;0,(M147/$N$125/12),0)</f>
        <v>0.17290805398608</v>
      </c>
    </row>
    <row r="148" spans="2:14" ht="24">
      <c r="B148" s="9">
        <v>22</v>
      </c>
      <c r="C148" s="7" t="s">
        <v>92</v>
      </c>
      <c r="D148" s="7" t="s">
        <v>18</v>
      </c>
      <c r="E148" s="11">
        <v>0.3</v>
      </c>
      <c r="F148" s="11">
        <v>1</v>
      </c>
      <c r="G148" s="14">
        <f>880.327476*E148*F148</f>
        <v>264.09824279999998</v>
      </c>
      <c r="H148" s="14">
        <f>0*E148*F148</f>
        <v>0</v>
      </c>
      <c r="I148" s="14">
        <f t="shared" si="28"/>
        <v>0</v>
      </c>
      <c r="J148" s="14">
        <f>838.071757152*E148*F148</f>
        <v>251.42152714560001</v>
      </c>
      <c r="K148" s="14">
        <f>180.43191948096*E148*F148</f>
        <v>54.129575844287999</v>
      </c>
      <c r="L148" s="14">
        <f>176.0654952*E148*F148</f>
        <v>52.819648559999997</v>
      </c>
      <c r="M148" s="14">
        <f t="shared" si="29"/>
        <v>622.46899434988802</v>
      </c>
      <c r="N148" s="18">
        <f>IF(N125&gt;0,(M148/$N$125/12),0)</f>
        <v>0.17290805398608</v>
      </c>
    </row>
    <row r="149" spans="2:14" ht="24">
      <c r="B149" s="9">
        <v>23</v>
      </c>
      <c r="C149" s="7" t="s">
        <v>27</v>
      </c>
      <c r="D149" s="7" t="s">
        <v>28</v>
      </c>
      <c r="E149" s="11">
        <v>0.01</v>
      </c>
      <c r="F149" s="11">
        <v>1</v>
      </c>
      <c r="G149" s="14">
        <f>2128.18266*E149*F149</f>
        <v>21.281826599999999</v>
      </c>
      <c r="H149" s="14">
        <f>0*E149*F149</f>
        <v>0</v>
      </c>
      <c r="I149" s="14">
        <f t="shared" si="28"/>
        <v>0</v>
      </c>
      <c r="J149" s="14">
        <f>2026.02989232*E149*F149</f>
        <v>20.260298923200001</v>
      </c>
      <c r="K149" s="14">
        <f>436.1923179936*E149*F149</f>
        <v>4.3619231799360003</v>
      </c>
      <c r="L149" s="14">
        <f>425.636532*E149*F149</f>
        <v>4.2563653199999996</v>
      </c>
      <c r="M149" s="14">
        <f t="shared" si="29"/>
        <v>50.160414023135999</v>
      </c>
      <c r="N149" s="18">
        <f>IF(N125&gt;0,(M149/$N$125/12),0)</f>
        <v>1.3933448339759999E-2</v>
      </c>
    </row>
    <row r="150" spans="2:14">
      <c r="B150" s="9">
        <v>24</v>
      </c>
      <c r="C150" s="7" t="s">
        <v>29</v>
      </c>
      <c r="D150" s="7" t="s">
        <v>30</v>
      </c>
      <c r="E150" s="11">
        <v>1</v>
      </c>
      <c r="F150" s="11">
        <v>1</v>
      </c>
      <c r="G150" s="14">
        <f>1048.0089*E150*F150</f>
        <v>1048.0089</v>
      </c>
      <c r="H150" s="14">
        <f>463.37184*E150*F150</f>
        <v>463.37184000000002</v>
      </c>
      <c r="I150" s="14">
        <f t="shared" si="28"/>
        <v>0</v>
      </c>
      <c r="J150" s="14">
        <f>997.7044728*E150*F150</f>
        <v>997.70447279999996</v>
      </c>
      <c r="K150" s="14">
        <f>263.453947344*E150*F150</f>
        <v>263.45394734400003</v>
      </c>
      <c r="L150" s="14">
        <f>209.60178*E150*F150</f>
        <v>209.60177999999999</v>
      </c>
      <c r="M150" s="14">
        <f t="shared" si="29"/>
        <v>2982.1409401440001</v>
      </c>
      <c r="N150" s="18">
        <f>IF(N125&gt;0,(M150/$N$125/12),0)</f>
        <v>0.82837248337333336</v>
      </c>
    </row>
    <row r="151" spans="2:14">
      <c r="B151" s="9">
        <v>25</v>
      </c>
      <c r="C151" s="7" t="s">
        <v>31</v>
      </c>
      <c r="D151" s="7" t="s">
        <v>30</v>
      </c>
      <c r="E151" s="11">
        <v>1</v>
      </c>
      <c r="F151" s="11">
        <v>1</v>
      </c>
      <c r="G151" s="14">
        <f>419.20356*E151*F151</f>
        <v>419.20355999999998</v>
      </c>
      <c r="H151" s="14">
        <f>0*E151*F151</f>
        <v>0</v>
      </c>
      <c r="I151" s="14">
        <f t="shared" si="28"/>
        <v>0</v>
      </c>
      <c r="J151" s="14">
        <f>399.08178912*E151*F151</f>
        <v>399.08178912</v>
      </c>
      <c r="K151" s="14">
        <f>85.9199616576*E151*F151</f>
        <v>85.919961657599998</v>
      </c>
      <c r="L151" s="14">
        <f>83.840712*E151*F151</f>
        <v>83.840711999999996</v>
      </c>
      <c r="M151" s="14">
        <f t="shared" si="29"/>
        <v>988.0460227776</v>
      </c>
      <c r="N151" s="18">
        <f>IF(N125&gt;0,(M151/$N$125/12),0)</f>
        <v>0.27445722854933335</v>
      </c>
    </row>
    <row r="152" spans="2:14">
      <c r="B152" s="9">
        <v>26</v>
      </c>
      <c r="C152" s="7" t="s">
        <v>32</v>
      </c>
      <c r="D152" s="7" t="s">
        <v>33</v>
      </c>
      <c r="E152" s="11">
        <v>1</v>
      </c>
      <c r="F152" s="11">
        <v>1</v>
      </c>
      <c r="G152" s="14">
        <f>59.904400011784*E152*F152</f>
        <v>59.904400011783999</v>
      </c>
      <c r="H152" s="14">
        <f>0*E152*F152</f>
        <v>0</v>
      </c>
      <c r="I152" s="14">
        <f t="shared" si="28"/>
        <v>0</v>
      </c>
      <c r="J152" s="14">
        <f>57.028988811219*E152*F152</f>
        <v>57.028988811219001</v>
      </c>
      <c r="K152" s="14">
        <f>12.278005826415*E152*F152</f>
        <v>12.278005826415001</v>
      </c>
      <c r="L152" s="14">
        <f>11.980880002357*E152*F152</f>
        <v>11.980880002357001</v>
      </c>
      <c r="M152" s="14">
        <f t="shared" si="29"/>
        <v>141.19227465177499</v>
      </c>
      <c r="N152" s="18">
        <f>IF(N125&gt;0,(M152/$N$125/12),0)</f>
        <v>3.922007629215972E-2</v>
      </c>
    </row>
    <row r="153" spans="2:14" ht="24">
      <c r="B153" s="9">
        <v>27</v>
      </c>
      <c r="C153" s="7" t="s">
        <v>34</v>
      </c>
      <c r="D153" s="7" t="s">
        <v>18</v>
      </c>
      <c r="E153" s="11">
        <v>0.3</v>
      </c>
      <c r="F153" s="11">
        <v>1</v>
      </c>
      <c r="G153" s="14">
        <f>2364.6474*E153*F153</f>
        <v>709.3942199999999</v>
      </c>
      <c r="H153" s="14">
        <f>0*E153*F153</f>
        <v>0</v>
      </c>
      <c r="I153" s="14">
        <f t="shared" si="28"/>
        <v>0</v>
      </c>
      <c r="J153" s="14">
        <f>2251.1443248*E153*F153</f>
        <v>675.34329744000001</v>
      </c>
      <c r="K153" s="14">
        <f>484.658131104*E153*F153</f>
        <v>145.39743933119999</v>
      </c>
      <c r="L153" s="14">
        <f>472.92948*E153*F153</f>
        <v>141.87884399999999</v>
      </c>
      <c r="M153" s="14">
        <f t="shared" si="29"/>
        <v>1672.0138007712001</v>
      </c>
      <c r="N153" s="18">
        <f>IF(N125&gt;0,(M153/$N$125/12),0)</f>
        <v>0.464448277992</v>
      </c>
    </row>
    <row r="154" spans="2:14">
      <c r="B154" s="9">
        <v>28</v>
      </c>
      <c r="C154" s="7" t="s">
        <v>35</v>
      </c>
      <c r="D154" s="7" t="s">
        <v>36</v>
      </c>
      <c r="E154" s="11">
        <v>1</v>
      </c>
      <c r="F154" s="11">
        <v>1</v>
      </c>
      <c r="G154" s="14">
        <f>838.40712*E154*F154</f>
        <v>838.40711999999996</v>
      </c>
      <c r="H154" s="14">
        <f>0*E154*F154</f>
        <v>0</v>
      </c>
      <c r="I154" s="14">
        <f t="shared" si="28"/>
        <v>0</v>
      </c>
      <c r="J154" s="14">
        <f>798.16357824*E154*F154</f>
        <v>798.16357823999999</v>
      </c>
      <c r="K154" s="14">
        <f>171.8399233152*E154*F154</f>
        <v>171.8399233152</v>
      </c>
      <c r="L154" s="14">
        <f>167.681424*E154*F154</f>
        <v>167.68142399999999</v>
      </c>
      <c r="M154" s="14">
        <f t="shared" si="29"/>
        <v>1976.0920455552</v>
      </c>
      <c r="N154" s="18">
        <f>IF(N125&gt;0,(M154/$N$125/12),0)</f>
        <v>0.54891445709866671</v>
      </c>
    </row>
    <row r="155" spans="2:14" ht="24">
      <c r="B155" s="9">
        <v>29</v>
      </c>
      <c r="C155" s="7" t="s">
        <v>95</v>
      </c>
      <c r="D155" s="7" t="s">
        <v>96</v>
      </c>
      <c r="E155" s="11">
        <v>0.5</v>
      </c>
      <c r="F155" s="11">
        <v>1</v>
      </c>
      <c r="G155" s="14">
        <f>823.6943475*E155*F155</f>
        <v>411.84717375000002</v>
      </c>
      <c r="H155" s="14">
        <f>7.100526745*E155*F155</f>
        <v>3.5502633724999999</v>
      </c>
      <c r="I155" s="14">
        <f t="shared" si="28"/>
        <v>0</v>
      </c>
      <c r="J155" s="14">
        <f>784.15701882*E155*F155</f>
        <v>392.07850940999998</v>
      </c>
      <c r="K155" s="14">
        <f>169.56994877182*E155*F155</f>
        <v>84.784974385910004</v>
      </c>
      <c r="L155" s="14">
        <f>164.7388695*E155*F155</f>
        <v>82.369434749999996</v>
      </c>
      <c r="M155" s="14">
        <f t="shared" si="29"/>
        <v>974.63035566841006</v>
      </c>
      <c r="N155" s="18">
        <f>IF(N125&gt;0,(M155/$N$125/12),0)</f>
        <v>0.27073065435233612</v>
      </c>
    </row>
    <row r="156" spans="2:14" ht="24">
      <c r="B156" s="9">
        <v>30</v>
      </c>
      <c r="C156" s="7" t="s">
        <v>97</v>
      </c>
      <c r="D156" s="7" t="s">
        <v>96</v>
      </c>
      <c r="E156" s="11">
        <v>0.5</v>
      </c>
      <c r="F156" s="11">
        <v>1</v>
      </c>
      <c r="G156" s="14">
        <f>25.1522136*E156*F156</f>
        <v>12.5761068</v>
      </c>
      <c r="H156" s="14">
        <f>0*E156*F156</f>
        <v>0</v>
      </c>
      <c r="I156" s="14">
        <f t="shared" si="28"/>
        <v>0</v>
      </c>
      <c r="J156" s="14">
        <f>23.9449073472*E156*F156</f>
        <v>11.9724536736</v>
      </c>
      <c r="K156" s="14">
        <f>5.155197699456*E156*F156</f>
        <v>2.577598849728</v>
      </c>
      <c r="L156" s="14">
        <f>5.03044272*E156*F156</f>
        <v>2.51522136</v>
      </c>
      <c r="M156" s="14">
        <f t="shared" si="29"/>
        <v>29.641380683327995</v>
      </c>
      <c r="N156" s="18">
        <f>IF(N125&gt;0,(M156/$N$125/12),0)</f>
        <v>8.2337168564799983E-3</v>
      </c>
    </row>
    <row r="157" spans="2:14" ht="24">
      <c r="B157" s="9">
        <v>31</v>
      </c>
      <c r="C157" s="7" t="s">
        <v>37</v>
      </c>
      <c r="D157" s="7" t="s">
        <v>38</v>
      </c>
      <c r="E157" s="11">
        <v>5</v>
      </c>
      <c r="F157" s="11">
        <v>1</v>
      </c>
      <c r="G157" s="14">
        <f>194.0389362*E157*F157</f>
        <v>970.19468099999995</v>
      </c>
      <c r="H157" s="14">
        <f>0*E157*F157</f>
        <v>0</v>
      </c>
      <c r="I157" s="14">
        <f t="shared" si="28"/>
        <v>0</v>
      </c>
      <c r="J157" s="14">
        <f>184.7250672624*E157*F157</f>
        <v>923.62533631199994</v>
      </c>
      <c r="K157" s="14">
        <f>39.770220363552*E157*F157</f>
        <v>198.85110181776</v>
      </c>
      <c r="L157" s="14">
        <f>38.80778724*E157*F157</f>
        <v>194.03893620000002</v>
      </c>
      <c r="M157" s="14">
        <f t="shared" si="29"/>
        <v>2286.7100553297601</v>
      </c>
      <c r="N157" s="18">
        <f>IF(N125&gt;0,(M157/$N$125/12),0)</f>
        <v>0.63519723759160007</v>
      </c>
    </row>
    <row r="158" spans="2:14" ht="24">
      <c r="B158" s="9">
        <v>32</v>
      </c>
      <c r="C158" s="7" t="s">
        <v>98</v>
      </c>
      <c r="D158" s="7" t="s">
        <v>99</v>
      </c>
      <c r="E158" s="11">
        <v>0.01</v>
      </c>
      <c r="F158" s="11">
        <v>1</v>
      </c>
      <c r="G158" s="14">
        <f>11737.69968*E158*F158</f>
        <v>117.3769968</v>
      </c>
      <c r="H158" s="14">
        <f>0*E158*F158</f>
        <v>0</v>
      </c>
      <c r="I158" s="14">
        <f t="shared" si="28"/>
        <v>0</v>
      </c>
      <c r="J158" s="14">
        <f>11174.29009536*E158*F158</f>
        <v>111.7429009536</v>
      </c>
      <c r="K158" s="14">
        <f>2405.7589264128*E158*F158</f>
        <v>24.057589264128001</v>
      </c>
      <c r="L158" s="14">
        <f>2347.539936*E158*F158</f>
        <v>23.475399360000001</v>
      </c>
      <c r="M158" s="14">
        <f t="shared" si="29"/>
        <v>276.65288637772801</v>
      </c>
      <c r="N158" s="18">
        <f>IF(N125&gt;0,(M158/$N$125/12),0)</f>
        <v>7.6848023993813339E-2</v>
      </c>
    </row>
    <row r="159" spans="2:14" ht="24">
      <c r="B159" s="9">
        <v>33</v>
      </c>
      <c r="C159" s="7" t="s">
        <v>39</v>
      </c>
      <c r="D159" s="7" t="s">
        <v>40</v>
      </c>
      <c r="E159" s="11">
        <v>0.2</v>
      </c>
      <c r="F159" s="11">
        <v>1</v>
      </c>
      <c r="G159" s="14">
        <f>3982.43382*E159*F159</f>
        <v>796.48676400000011</v>
      </c>
      <c r="H159" s="14">
        <f>0*E159*F159</f>
        <v>0</v>
      </c>
      <c r="I159" s="14">
        <f t="shared" si="28"/>
        <v>0</v>
      </c>
      <c r="J159" s="14">
        <f>3791.27699664*E159*F159</f>
        <v>758.25539932800007</v>
      </c>
      <c r="K159" s="14">
        <f>816.2396357472*E159*F159</f>
        <v>163.24792714944002</v>
      </c>
      <c r="L159" s="14">
        <f>796.486764*E159*F159</f>
        <v>159.2973528</v>
      </c>
      <c r="M159" s="14">
        <f t="shared" si="29"/>
        <v>1877.2874432774402</v>
      </c>
      <c r="N159" s="18">
        <f>IF(N125&gt;0,(M159/$N$125/12),0)</f>
        <v>0.52146873424373341</v>
      </c>
    </row>
    <row r="160" spans="2:14" ht="84">
      <c r="B160" s="9">
        <v>34</v>
      </c>
      <c r="C160" s="7" t="s">
        <v>59</v>
      </c>
      <c r="D160" s="7" t="s">
        <v>60</v>
      </c>
      <c r="E160" s="11">
        <v>0.3</v>
      </c>
      <c r="F160" s="11">
        <v>3</v>
      </c>
      <c r="G160" s="14">
        <f>2852.4434076*E160*F160</f>
        <v>2567.1990668399994</v>
      </c>
      <c r="H160" s="14">
        <f>0*E160*F160</f>
        <v>0</v>
      </c>
      <c r="I160" s="14">
        <f t="shared" si="28"/>
        <v>0</v>
      </c>
      <c r="J160" s="14">
        <f>2715.5261240352*E160*F160</f>
        <v>2443.9735116316801</v>
      </c>
      <c r="K160" s="14">
        <f>584.6368008217*E160*F160</f>
        <v>526.17312073953008</v>
      </c>
      <c r="L160" s="14">
        <f>570.48868152*E160*F160</f>
        <v>513.43981336800005</v>
      </c>
      <c r="M160" s="14">
        <f t="shared" si="29"/>
        <v>6050.7855125792094</v>
      </c>
      <c r="N160" s="18">
        <f>IF(N125&gt;0,(M160/$N$125/12),0)</f>
        <v>1.6807737534942249</v>
      </c>
    </row>
    <row r="161" spans="2:14" ht="20.100000000000001" customHeight="1">
      <c r="B161" s="56" t="s">
        <v>43</v>
      </c>
      <c r="C161" s="57"/>
      <c r="D161" s="57"/>
      <c r="E161" s="58"/>
      <c r="F161" s="58"/>
      <c r="G161" s="22">
        <f t="shared" ref="G161:N161" si="31">SUM(G127:G160)</f>
        <v>21615.923708289636</v>
      </c>
      <c r="H161" s="22">
        <f t="shared" si="31"/>
        <v>3121.5513460863194</v>
      </c>
      <c r="I161" s="22">
        <f t="shared" si="31"/>
        <v>0</v>
      </c>
      <c r="J161" s="22">
        <f t="shared" si="31"/>
        <v>20578.359370291728</v>
      </c>
      <c r="K161" s="22">
        <f t="shared" si="31"/>
        <v>4758.1626145900955</v>
      </c>
      <c r="L161" s="22">
        <f t="shared" si="31"/>
        <v>4323.1847416579267</v>
      </c>
      <c r="M161" s="22">
        <f t="shared" si="31"/>
        <v>54397.1817809157</v>
      </c>
      <c r="N161" s="18">
        <f t="shared" si="31"/>
        <v>15.110328272476583</v>
      </c>
    </row>
    <row r="162" spans="2:14" ht="21.95" customHeight="1">
      <c r="B162" s="51" t="s">
        <v>44</v>
      </c>
      <c r="C162" s="52"/>
      <c r="D162" s="52"/>
      <c r="E162" s="53"/>
      <c r="F162" s="53"/>
      <c r="G162" s="54"/>
      <c r="H162" s="54"/>
      <c r="I162" s="54"/>
      <c r="J162" s="54"/>
      <c r="K162" s="54"/>
      <c r="L162" s="54"/>
      <c r="M162" s="54"/>
      <c r="N162" s="55"/>
    </row>
    <row r="163" spans="2:14" ht="36">
      <c r="B163" s="9">
        <v>35</v>
      </c>
      <c r="C163" s="7" t="s">
        <v>61</v>
      </c>
      <c r="D163" s="7" t="s">
        <v>62</v>
      </c>
      <c r="E163" s="11">
        <v>0.2</v>
      </c>
      <c r="F163" s="11">
        <v>52</v>
      </c>
      <c r="G163" s="14">
        <f>188.49226515*E163*F163</f>
        <v>1960.3195575600002</v>
      </c>
      <c r="H163" s="14">
        <f>0*E163*F163</f>
        <v>0</v>
      </c>
      <c r="I163" s="14">
        <f t="shared" ref="I163:I173" si="32">0*E163*F163</f>
        <v>0</v>
      </c>
      <c r="J163" s="14">
        <f>179.4446364228*E163*F163</f>
        <v>1866.2242187971199</v>
      </c>
      <c r="K163" s="14">
        <f>38.633374665144*E163*F163</f>
        <v>401.78709651749762</v>
      </c>
      <c r="L163" s="14">
        <f>37.69845303*E163*F163</f>
        <v>392.063911512</v>
      </c>
      <c r="M163" s="14">
        <f t="shared" ref="M163:M173" si="33">SUM(G163:L163)</f>
        <v>4620.3947843866181</v>
      </c>
      <c r="N163" s="18">
        <f>IF(N125&gt;0,(M163/$N$125/12),0)</f>
        <v>1.2834429956629496</v>
      </c>
    </row>
    <row r="164" spans="2:14" ht="24">
      <c r="B164" s="9">
        <v>36</v>
      </c>
      <c r="C164" s="7" t="s">
        <v>63</v>
      </c>
      <c r="D164" s="7" t="s">
        <v>64</v>
      </c>
      <c r="E164" s="11">
        <v>0.2</v>
      </c>
      <c r="F164" s="11">
        <v>52</v>
      </c>
      <c r="G164" s="14">
        <f>431.4421125*E164*F164</f>
        <v>4486.9979700000004</v>
      </c>
      <c r="H164" s="14">
        <f>65.18338*E164*F164</f>
        <v>677.907152</v>
      </c>
      <c r="I164" s="14">
        <f t="shared" si="32"/>
        <v>0</v>
      </c>
      <c r="J164" s="14">
        <f>410.7328911*E164*F164</f>
        <v>4271.6220674400001</v>
      </c>
      <c r="K164" s="14">
        <f>95.272630278*E164*F164</f>
        <v>990.83535489120004</v>
      </c>
      <c r="L164" s="14">
        <f>86.2884225*E164*F164</f>
        <v>897.39959399999998</v>
      </c>
      <c r="M164" s="14">
        <f t="shared" si="33"/>
        <v>11324.7621383312</v>
      </c>
      <c r="N164" s="18">
        <f>IF(N125&gt;0,(M164/$N$125/12),0)</f>
        <v>3.1457672606475557</v>
      </c>
    </row>
    <row r="165" spans="2:14" ht="24">
      <c r="B165" s="9">
        <v>37</v>
      </c>
      <c r="C165" s="7" t="s">
        <v>45</v>
      </c>
      <c r="D165" s="7" t="s">
        <v>46</v>
      </c>
      <c r="E165" s="11">
        <v>0.1</v>
      </c>
      <c r="F165" s="11">
        <v>1</v>
      </c>
      <c r="G165" s="14">
        <f>500.1459*E165*F165</f>
        <v>50.014589999999998</v>
      </c>
      <c r="H165" s="14">
        <f>2.6526539*E165*F165</f>
        <v>0.26526538999999999</v>
      </c>
      <c r="I165" s="14">
        <f t="shared" si="32"/>
        <v>0</v>
      </c>
      <c r="J165" s="14">
        <f>476.1388968*E165*F165</f>
        <v>47.61388968</v>
      </c>
      <c r="K165" s="14">
        <f>102.7884323235*E165*F165</f>
        <v>10.278843232350001</v>
      </c>
      <c r="L165" s="14">
        <f>100.02918*E165*F165</f>
        <v>10.002918000000001</v>
      </c>
      <c r="M165" s="14">
        <f t="shared" si="33"/>
        <v>118.17550630234999</v>
      </c>
      <c r="N165" s="18">
        <f>IF(N125&gt;0,(M165/$N$125/12),0)</f>
        <v>3.2826529528430549E-2</v>
      </c>
    </row>
    <row r="166" spans="2:14" ht="24">
      <c r="B166" s="9">
        <v>38</v>
      </c>
      <c r="C166" s="7" t="s">
        <v>127</v>
      </c>
      <c r="D166" s="7" t="s">
        <v>50</v>
      </c>
      <c r="E166" s="11">
        <v>1E-3</v>
      </c>
      <c r="F166" s="11">
        <v>1</v>
      </c>
      <c r="G166" s="14">
        <f>9425.0109*E166*F166</f>
        <v>9.4250109000000002</v>
      </c>
      <c r="H166" s="14">
        <f>0*E166*F166</f>
        <v>0</v>
      </c>
      <c r="I166" s="14">
        <f t="shared" si="32"/>
        <v>0</v>
      </c>
      <c r="J166" s="14">
        <f>8972.6103768*E166*F166</f>
        <v>8.9726103767999987</v>
      </c>
      <c r="K166" s="14">
        <f>1931.750234064*E166*F166</f>
        <v>1.931750234064</v>
      </c>
      <c r="L166" s="14">
        <f>1885.00218*E166*F166</f>
        <v>1.8850021800000001</v>
      </c>
      <c r="M166" s="14">
        <f t="shared" si="33"/>
        <v>22.214373690864001</v>
      </c>
      <c r="N166" s="18">
        <f>IF(N125&gt;0,(M166/$N$125/12),0)</f>
        <v>6.1706593585733336E-3</v>
      </c>
    </row>
    <row r="167" spans="2:14" ht="24">
      <c r="B167" s="9">
        <v>39</v>
      </c>
      <c r="C167" s="7" t="s">
        <v>109</v>
      </c>
      <c r="D167" s="7" t="s">
        <v>52</v>
      </c>
      <c r="E167" s="11">
        <v>2</v>
      </c>
      <c r="F167" s="11">
        <v>1</v>
      </c>
      <c r="G167" s="14">
        <f>477.171*E167*F167</f>
        <v>954.34199999999998</v>
      </c>
      <c r="H167" s="14">
        <f>0*E167*F167</f>
        <v>0</v>
      </c>
      <c r="I167" s="14">
        <f t="shared" si="32"/>
        <v>0</v>
      </c>
      <c r="J167" s="14">
        <f>454.266792*E167*F167</f>
        <v>908.53358400000002</v>
      </c>
      <c r="K167" s="14">
        <f>97.80096816*E167*F167</f>
        <v>195.60193631999999</v>
      </c>
      <c r="L167" s="14">
        <f>95.4342*E167*F167</f>
        <v>190.86840000000001</v>
      </c>
      <c r="M167" s="14">
        <f t="shared" si="33"/>
        <v>2249.3459203199995</v>
      </c>
      <c r="N167" s="18">
        <f>IF(N125&gt;0,(M167/$N$125/12),0)</f>
        <v>0.62481831119999987</v>
      </c>
    </row>
    <row r="168" spans="2:14" ht="24">
      <c r="B168" s="9">
        <v>40</v>
      </c>
      <c r="C168" s="7" t="s">
        <v>110</v>
      </c>
      <c r="D168" s="7" t="s">
        <v>111</v>
      </c>
      <c r="E168" s="11">
        <v>0.05</v>
      </c>
      <c r="F168" s="11">
        <v>1</v>
      </c>
      <c r="G168" s="14">
        <f>243.8874*E168*F168</f>
        <v>12.194370000000001</v>
      </c>
      <c r="H168" s="14">
        <f>0*E168*F168</f>
        <v>0</v>
      </c>
      <c r="I168" s="14">
        <f t="shared" si="32"/>
        <v>0</v>
      </c>
      <c r="J168" s="14">
        <f>232.1808048*E168*F168</f>
        <v>11.609040240000001</v>
      </c>
      <c r="K168" s="14">
        <f>49.987161504*E168*F168</f>
        <v>2.4993580752</v>
      </c>
      <c r="L168" s="14">
        <f>48.77748*E168*F168</f>
        <v>2.4388740000000002</v>
      </c>
      <c r="M168" s="14">
        <f t="shared" si="33"/>
        <v>28.741642315200004</v>
      </c>
      <c r="N168" s="18">
        <f>IF(N125&gt;0,(M168/$N$125/12),0)</f>
        <v>7.9837895320000012E-3</v>
      </c>
    </row>
    <row r="169" spans="2:14" ht="24">
      <c r="B169" s="9">
        <v>41</v>
      </c>
      <c r="C169" s="7" t="s">
        <v>128</v>
      </c>
      <c r="D169" s="7" t="s">
        <v>111</v>
      </c>
      <c r="E169" s="11">
        <v>0.05</v>
      </c>
      <c r="F169" s="11">
        <v>1</v>
      </c>
      <c r="G169" s="14">
        <f>45.06615*E169*F169</f>
        <v>2.2533075</v>
      </c>
      <c r="H169" s="14">
        <f>0.2397591025*E169*F169</f>
        <v>1.1987955125E-2</v>
      </c>
      <c r="I169" s="14">
        <f t="shared" si="32"/>
        <v>0</v>
      </c>
      <c r="J169" s="14">
        <f>42.9029748*E169*F169</f>
        <v>2.1451487400000002</v>
      </c>
      <c r="K169" s="14">
        <f>9.2619328097625*E169*F169</f>
        <v>0.46309664048812504</v>
      </c>
      <c r="L169" s="14">
        <f>9.01323*E169*F169</f>
        <v>0.45066150000000005</v>
      </c>
      <c r="M169" s="14">
        <f t="shared" si="33"/>
        <v>5.3242023356131254</v>
      </c>
      <c r="N169" s="18">
        <f>IF(N125&gt;0,(M169/$N$125/12),0)</f>
        <v>1.478945093225868E-3</v>
      </c>
    </row>
    <row r="170" spans="2:14">
      <c r="B170" s="9">
        <v>42</v>
      </c>
      <c r="C170" s="7" t="s">
        <v>112</v>
      </c>
      <c r="D170" s="7" t="s">
        <v>111</v>
      </c>
      <c r="E170" s="11">
        <v>0.12</v>
      </c>
      <c r="F170" s="11">
        <v>1</v>
      </c>
      <c r="G170" s="14">
        <f>1060.38*E170*F170</f>
        <v>127.24560000000001</v>
      </c>
      <c r="H170" s="14">
        <f>0*E170*F170</f>
        <v>0</v>
      </c>
      <c r="I170" s="14">
        <f t="shared" si="32"/>
        <v>0</v>
      </c>
      <c r="J170" s="14">
        <f>1009.48176*E170*F170</f>
        <v>121.1378112</v>
      </c>
      <c r="K170" s="14">
        <f>217.3354848*E170*F170</f>
        <v>26.080258175999997</v>
      </c>
      <c r="L170" s="14">
        <f>212.076*E170*F170</f>
        <v>25.449119999999997</v>
      </c>
      <c r="M170" s="14">
        <f t="shared" si="33"/>
        <v>299.91278937599998</v>
      </c>
      <c r="N170" s="18">
        <f>IF(N125&gt;0,(M170/$N$125/12),0)</f>
        <v>8.3309108159999992E-2</v>
      </c>
    </row>
    <row r="171" spans="2:14">
      <c r="B171" s="9">
        <v>43</v>
      </c>
      <c r="C171" s="7" t="s">
        <v>113</v>
      </c>
      <c r="D171" s="7" t="s">
        <v>114</v>
      </c>
      <c r="E171" s="11">
        <v>0.12</v>
      </c>
      <c r="F171" s="11">
        <v>1</v>
      </c>
      <c r="G171" s="14">
        <f>429.4539*E171*F171</f>
        <v>51.534467999999997</v>
      </c>
      <c r="H171" s="14">
        <f>2.295565875*E171*F171</f>
        <v>0.27546790499999996</v>
      </c>
      <c r="I171" s="14">
        <f t="shared" si="32"/>
        <v>0</v>
      </c>
      <c r="J171" s="14">
        <f>408.8401128*E171*F171</f>
        <v>49.060813535999998</v>
      </c>
      <c r="K171" s="14">
        <f>88.261905760875*E171*F171</f>
        <v>10.591428691305</v>
      </c>
      <c r="L171" s="14">
        <f>85.89078*E171*F171</f>
        <v>10.3068936</v>
      </c>
      <c r="M171" s="14">
        <f t="shared" si="33"/>
        <v>121.76907173230498</v>
      </c>
      <c r="N171" s="18">
        <f>IF(N125&gt;0,(M171/$N$125/12),0)</f>
        <v>3.3824742147862498E-2</v>
      </c>
    </row>
    <row r="172" spans="2:14" ht="36">
      <c r="B172" s="9">
        <v>44</v>
      </c>
      <c r="C172" s="7" t="s">
        <v>73</v>
      </c>
      <c r="D172" s="7" t="s">
        <v>74</v>
      </c>
      <c r="E172" s="11">
        <v>0.1</v>
      </c>
      <c r="F172" s="11">
        <v>1</v>
      </c>
      <c r="G172" s="14">
        <f>1173.769968*E172*F172</f>
        <v>117.37699680000001</v>
      </c>
      <c r="H172" s="14">
        <f>50.4192*E172*F172</f>
        <v>5.0419200000000002</v>
      </c>
      <c r="I172" s="14">
        <f t="shared" si="32"/>
        <v>0</v>
      </c>
      <c r="J172" s="14">
        <f>1117.429009536*E172*F172</f>
        <v>111.7429009536</v>
      </c>
      <c r="K172" s="14">
        <f>245.86990864128*E172*F172</f>
        <v>24.586990864128001</v>
      </c>
      <c r="L172" s="14">
        <f>234.7539936*E172*F172</f>
        <v>23.475399360000001</v>
      </c>
      <c r="M172" s="14">
        <f t="shared" si="33"/>
        <v>282.22420797772799</v>
      </c>
      <c r="N172" s="18">
        <f>IF(N125&gt;0,(M172/$N$125/12),0)</f>
        <v>7.839561332714666E-2</v>
      </c>
    </row>
    <row r="173" spans="2:14" ht="36">
      <c r="B173" s="9">
        <v>45</v>
      </c>
      <c r="C173" s="7" t="s">
        <v>129</v>
      </c>
      <c r="D173" s="7" t="s">
        <v>74</v>
      </c>
      <c r="E173" s="11">
        <v>0.1</v>
      </c>
      <c r="F173" s="11">
        <v>2</v>
      </c>
      <c r="G173" s="14">
        <f>836.3111022*E173*F173</f>
        <v>167.26222044000002</v>
      </c>
      <c r="H173" s="14">
        <f>484.8*E173*F173</f>
        <v>96.960000000000008</v>
      </c>
      <c r="I173" s="14">
        <f t="shared" si="32"/>
        <v>0</v>
      </c>
      <c r="J173" s="14">
        <f>796.1681692944*E173*F173</f>
        <v>159.23363385888001</v>
      </c>
      <c r="K173" s="14">
        <f>222.31432350691*E173*F173</f>
        <v>44.462864701382003</v>
      </c>
      <c r="L173" s="14">
        <f>167.26222044*E173*F173</f>
        <v>33.452444088</v>
      </c>
      <c r="M173" s="14">
        <f t="shared" si="33"/>
        <v>501.37116308826199</v>
      </c>
      <c r="N173" s="18">
        <f>IF(N125&gt;0,(M173/$N$125/12),0)</f>
        <v>0.13926976752451722</v>
      </c>
    </row>
    <row r="174" spans="2:14" ht="12.75">
      <c r="B174" s="56" t="s">
        <v>43</v>
      </c>
      <c r="C174" s="57"/>
      <c r="D174" s="57"/>
      <c r="E174" s="58"/>
      <c r="F174" s="58"/>
      <c r="G174" s="22">
        <f t="shared" ref="G174:N174" si="34">SUM(G163:G173)</f>
        <v>7938.9660912000008</v>
      </c>
      <c r="H174" s="22">
        <f t="shared" si="34"/>
        <v>780.46179325012508</v>
      </c>
      <c r="I174" s="22">
        <f t="shared" si="34"/>
        <v>0</v>
      </c>
      <c r="J174" s="22">
        <f t="shared" si="34"/>
        <v>7557.8957188223994</v>
      </c>
      <c r="K174" s="22">
        <f t="shared" si="34"/>
        <v>1709.1189783436148</v>
      </c>
      <c r="L174" s="22">
        <f t="shared" si="34"/>
        <v>1587.7932182399998</v>
      </c>
      <c r="M174" s="22">
        <f t="shared" si="34"/>
        <v>19574.235799856142</v>
      </c>
      <c r="N174" s="18">
        <f t="shared" si="34"/>
        <v>5.4372877221822611</v>
      </c>
    </row>
    <row r="175" spans="2:14" ht="27.95" customHeight="1">
      <c r="B175" s="59" t="s">
        <v>55</v>
      </c>
      <c r="C175" s="60"/>
      <c r="D175" s="60"/>
      <c r="E175" s="61"/>
      <c r="F175" s="61"/>
      <c r="G175" s="23">
        <f t="shared" ref="G175:N175" si="35">G161+G174</f>
        <v>29554.889799489636</v>
      </c>
      <c r="H175" s="23">
        <f t="shared" si="35"/>
        <v>3902.0131393364445</v>
      </c>
      <c r="I175" s="23">
        <f t="shared" si="35"/>
        <v>0</v>
      </c>
      <c r="J175" s="23">
        <f t="shared" si="35"/>
        <v>28136.255089114129</v>
      </c>
      <c r="K175" s="23">
        <f t="shared" si="35"/>
        <v>6467.2815929337103</v>
      </c>
      <c r="L175" s="23">
        <f t="shared" si="35"/>
        <v>5910.9779598979267</v>
      </c>
      <c r="M175" s="23">
        <f t="shared" si="35"/>
        <v>73971.417580771842</v>
      </c>
      <c r="N175" s="24">
        <f t="shared" si="35"/>
        <v>20.547615994658845</v>
      </c>
    </row>
    <row r="176" spans="2:14" ht="24.95" customHeight="1">
      <c r="B176" s="66" t="s">
        <v>130</v>
      </c>
      <c r="C176" s="67"/>
      <c r="D176" s="67"/>
      <c r="E176" s="68"/>
      <c r="F176" s="68"/>
      <c r="G176" s="69"/>
      <c r="H176" s="69"/>
      <c r="I176" s="69"/>
      <c r="J176" s="69"/>
      <c r="K176" s="69"/>
      <c r="L176" s="70" t="s">
        <v>15</v>
      </c>
      <c r="M176" s="70"/>
      <c r="N176" s="26">
        <v>1400</v>
      </c>
    </row>
    <row r="177" spans="2:14" ht="21.95" customHeight="1">
      <c r="B177" s="51" t="s">
        <v>16</v>
      </c>
      <c r="C177" s="52"/>
      <c r="D177" s="52"/>
      <c r="E177" s="53"/>
      <c r="F177" s="53"/>
      <c r="G177" s="54"/>
      <c r="H177" s="54"/>
      <c r="I177" s="54"/>
      <c r="J177" s="54"/>
      <c r="K177" s="54"/>
      <c r="L177" s="54"/>
      <c r="M177" s="54"/>
      <c r="N177" s="55"/>
    </row>
    <row r="178" spans="2:14" ht="24">
      <c r="B178" s="9">
        <v>1</v>
      </c>
      <c r="C178" s="7" t="s">
        <v>131</v>
      </c>
      <c r="D178" s="7" t="s">
        <v>132</v>
      </c>
      <c r="E178" s="11">
        <v>0.2</v>
      </c>
      <c r="F178" s="11">
        <v>1</v>
      </c>
      <c r="G178" s="14">
        <f>61119.879048*E178*F178</f>
        <v>12223.975809600001</v>
      </c>
      <c r="H178" s="14">
        <f>1750.3053661*E178*F178</f>
        <v>350.06107322000003</v>
      </c>
      <c r="I178" s="14">
        <f t="shared" ref="I178:I211" si="36">0*E178*F178</f>
        <v>0</v>
      </c>
      <c r="J178" s="14">
        <f>58186.124853696*E178*F178</f>
        <v>11637.2249707392</v>
      </c>
      <c r="K178" s="14">
        <f>12710.912473119*E178*F178</f>
        <v>2542.1824946238003</v>
      </c>
      <c r="L178" s="14">
        <f>12223.9758096*E178*F178</f>
        <v>2444.7951619200003</v>
      </c>
      <c r="M178" s="14">
        <f t="shared" ref="M178:M211" si="37">SUM(G178:L178)</f>
        <v>29198.239510103002</v>
      </c>
      <c r="N178" s="18">
        <f>IF(N176&gt;0,(M178/$N$176/12),0)</f>
        <v>1.7379904470299408</v>
      </c>
    </row>
    <row r="179" spans="2:14">
      <c r="B179" s="9">
        <v>2</v>
      </c>
      <c r="C179" s="7" t="s">
        <v>116</v>
      </c>
      <c r="D179" s="7" t="s">
        <v>117</v>
      </c>
      <c r="E179" s="11">
        <v>96</v>
      </c>
      <c r="F179" s="11">
        <v>1</v>
      </c>
      <c r="G179" s="14">
        <f>9.4585896*E179*F179</f>
        <v>908.02460159999998</v>
      </c>
      <c r="H179" s="14">
        <f>0*E179*F179</f>
        <v>0</v>
      </c>
      <c r="I179" s="14">
        <f t="shared" si="36"/>
        <v>0</v>
      </c>
      <c r="J179" s="14">
        <f>9.0045772992*E179*F179</f>
        <v>864.43942072319987</v>
      </c>
      <c r="K179" s="14">
        <f>1.938632524416*E179*F179</f>
        <v>186.10872234393599</v>
      </c>
      <c r="L179" s="14">
        <f>1.89171792*E179*F179</f>
        <v>181.60492032000002</v>
      </c>
      <c r="M179" s="14">
        <f t="shared" si="37"/>
        <v>2140.1776649871363</v>
      </c>
      <c r="N179" s="18">
        <f>IF(N176&gt;0,(M179/$N$176/12),0)</f>
        <v>0.12739152767780573</v>
      </c>
    </row>
    <row r="180" spans="2:14" ht="24">
      <c r="B180" s="9">
        <v>3</v>
      </c>
      <c r="C180" s="7" t="s">
        <v>118</v>
      </c>
      <c r="D180" s="7" t="s">
        <v>119</v>
      </c>
      <c r="E180" s="11">
        <v>60</v>
      </c>
      <c r="F180" s="11">
        <v>1</v>
      </c>
      <c r="G180" s="14">
        <f>13.4226435*E180*F180</f>
        <v>805.35861</v>
      </c>
      <c r="H180" s="14">
        <f>0*E180*F180</f>
        <v>0</v>
      </c>
      <c r="I180" s="14">
        <f t="shared" si="36"/>
        <v>0</v>
      </c>
      <c r="J180" s="14">
        <f>12.778356612*E180*F180</f>
        <v>766.70139671999993</v>
      </c>
      <c r="K180" s="14">
        <f>2.75110501176*E180*F180</f>
        <v>165.06630070559999</v>
      </c>
      <c r="L180" s="14">
        <f>2.6845287*E180*F180</f>
        <v>161.07172199999999</v>
      </c>
      <c r="M180" s="14">
        <f t="shared" si="37"/>
        <v>1898.1980294255998</v>
      </c>
      <c r="N180" s="18">
        <f>IF(N176&gt;0,(M180/$N$176/12),0)</f>
        <v>0.112987977942</v>
      </c>
    </row>
    <row r="181" spans="2:14">
      <c r="B181" s="9">
        <v>4</v>
      </c>
      <c r="C181" s="7" t="s">
        <v>120</v>
      </c>
      <c r="D181" s="7" t="s">
        <v>121</v>
      </c>
      <c r="E181" s="11">
        <v>60</v>
      </c>
      <c r="F181" s="11">
        <v>1</v>
      </c>
      <c r="G181" s="14">
        <f>53.690574*E181*F181</f>
        <v>3221.43444</v>
      </c>
      <c r="H181" s="14">
        <f>0*E181*F181</f>
        <v>0</v>
      </c>
      <c r="I181" s="14">
        <f t="shared" si="36"/>
        <v>0</v>
      </c>
      <c r="J181" s="14">
        <f>51.113426448*E181*F181</f>
        <v>3066.8055868799997</v>
      </c>
      <c r="K181" s="14">
        <f>11.00442004704*E181*F181</f>
        <v>660.26520282239994</v>
      </c>
      <c r="L181" s="14">
        <f>10.7381148*E181*F181</f>
        <v>644.28688799999998</v>
      </c>
      <c r="M181" s="14">
        <f t="shared" si="37"/>
        <v>7592.7921177023991</v>
      </c>
      <c r="N181" s="18">
        <f>IF(N176&gt;0,(M181/$N$176/12),0)</f>
        <v>0.45195191176799998</v>
      </c>
    </row>
    <row r="182" spans="2:14" ht="48">
      <c r="B182" s="9">
        <v>5</v>
      </c>
      <c r="C182" s="7" t="s">
        <v>122</v>
      </c>
      <c r="D182" s="7" t="s">
        <v>123</v>
      </c>
      <c r="E182" s="11">
        <v>96</v>
      </c>
      <c r="F182" s="11">
        <v>1</v>
      </c>
      <c r="G182" s="14">
        <f>49.6575954*E182*F182</f>
        <v>4767.1291584000001</v>
      </c>
      <c r="H182" s="14">
        <f>0*E182*F182</f>
        <v>0</v>
      </c>
      <c r="I182" s="14">
        <f t="shared" si="36"/>
        <v>0</v>
      </c>
      <c r="J182" s="14">
        <f>47.2740308208*E182*F182</f>
        <v>4538.3069587968002</v>
      </c>
      <c r="K182" s="14">
        <f>10.177820753184*E182*F182</f>
        <v>977.07079230566387</v>
      </c>
      <c r="L182" s="14">
        <f>9.93151908*E182*F182</f>
        <v>953.42583167999987</v>
      </c>
      <c r="M182" s="14">
        <f t="shared" si="37"/>
        <v>11235.932741182465</v>
      </c>
      <c r="N182" s="18">
        <f>IF(N176&gt;0,(M182/$N$176/12),0)</f>
        <v>0.66880552030848006</v>
      </c>
    </row>
    <row r="183" spans="2:14" ht="36">
      <c r="B183" s="9">
        <v>6</v>
      </c>
      <c r="C183" s="7" t="s">
        <v>124</v>
      </c>
      <c r="D183" s="7" t="s">
        <v>125</v>
      </c>
      <c r="E183" s="11">
        <v>32</v>
      </c>
      <c r="F183" s="11">
        <v>1</v>
      </c>
      <c r="G183" s="14">
        <f>3.835041*E183*F183</f>
        <v>122.721312</v>
      </c>
      <c r="H183" s="14">
        <f>0*E183*F183</f>
        <v>0</v>
      </c>
      <c r="I183" s="14">
        <f t="shared" si="36"/>
        <v>0</v>
      </c>
      <c r="J183" s="14">
        <f>3.650959032*E183*F183</f>
        <v>116.83068902399999</v>
      </c>
      <c r="K183" s="14">
        <f>0.78603000336*E183*F183</f>
        <v>25.152960107519998</v>
      </c>
      <c r="L183" s="14">
        <f>0.7670082*E183*F183</f>
        <v>24.544262400000001</v>
      </c>
      <c r="M183" s="14">
        <f t="shared" si="37"/>
        <v>289.24922353151999</v>
      </c>
      <c r="N183" s="18">
        <f>IF(N176&gt;0,(M183/$N$176/12),0)</f>
        <v>1.72172156864E-2</v>
      </c>
    </row>
    <row r="184" spans="2:14" ht="24">
      <c r="B184" s="9">
        <v>7</v>
      </c>
      <c r="C184" s="7" t="s">
        <v>76</v>
      </c>
      <c r="D184" s="7" t="s">
        <v>77</v>
      </c>
      <c r="E184" s="11">
        <v>1</v>
      </c>
      <c r="F184" s="11">
        <v>1</v>
      </c>
      <c r="G184" s="14">
        <f>28.763692487846*E184*F184</f>
        <v>28.763692487846001</v>
      </c>
      <c r="H184" s="14">
        <f>328.50591278152*E184*F184</f>
        <v>328.50591278152001</v>
      </c>
      <c r="I184" s="14">
        <f t="shared" si="36"/>
        <v>0</v>
      </c>
      <c r="J184" s="14">
        <f>27.383035248429*E184*F184</f>
        <v>27.383035248429</v>
      </c>
      <c r="K184" s="14">
        <f>40.388527254368*E184*F184</f>
        <v>40.388527254368</v>
      </c>
      <c r="L184" s="14">
        <f>5.7527384975692*E184*F184</f>
        <v>5.7527384975692</v>
      </c>
      <c r="M184" s="14">
        <f t="shared" si="37"/>
        <v>430.79390626973225</v>
      </c>
      <c r="N184" s="18">
        <f>IF(N176&gt;0,(M184/$N$176/12),0)</f>
        <v>2.5642494420817397E-2</v>
      </c>
    </row>
    <row r="185" spans="2:14">
      <c r="B185" s="9">
        <v>8</v>
      </c>
      <c r="C185" s="7" t="s">
        <v>78</v>
      </c>
      <c r="D185" s="7" t="s">
        <v>79</v>
      </c>
      <c r="E185" s="11">
        <v>0.1</v>
      </c>
      <c r="F185" s="11">
        <v>1</v>
      </c>
      <c r="G185" s="14">
        <f>4615.569045*E185*F185</f>
        <v>461.55690450000003</v>
      </c>
      <c r="H185" s="14">
        <f>13663.902655643*E185*F185</f>
        <v>1366.3902655643001</v>
      </c>
      <c r="I185" s="14">
        <f t="shared" si="36"/>
        <v>0</v>
      </c>
      <c r="J185" s="14">
        <f>4394.02173084*E185*F185</f>
        <v>439.40217308399997</v>
      </c>
      <c r="K185" s="14">
        <f>2380.7168103057*E185*F185</f>
        <v>238.07168103057003</v>
      </c>
      <c r="L185" s="14">
        <f>923.113809*E185*F185</f>
        <v>92.311380900000003</v>
      </c>
      <c r="M185" s="14">
        <f t="shared" si="37"/>
        <v>2597.7324050788702</v>
      </c>
      <c r="N185" s="18">
        <f>IF(N176&gt;0,(M185/$N$176/12),0)</f>
        <v>0.15462692887374227</v>
      </c>
    </row>
    <row r="186" spans="2:14" ht="24">
      <c r="B186" s="9">
        <v>9</v>
      </c>
      <c r="C186" s="7" t="s">
        <v>80</v>
      </c>
      <c r="D186" s="7" t="s">
        <v>18</v>
      </c>
      <c r="E186" s="11">
        <v>1.4</v>
      </c>
      <c r="F186" s="11">
        <v>1</v>
      </c>
      <c r="G186" s="14">
        <f>4871.173644*E186*F186</f>
        <v>6819.6431016000006</v>
      </c>
      <c r="H186" s="14">
        <f>2802.81742356*E186*F186</f>
        <v>3923.9443929839995</v>
      </c>
      <c r="I186" s="14">
        <f t="shared" si="36"/>
        <v>0</v>
      </c>
      <c r="J186" s="14">
        <f>4637.357309088*E186*F186</f>
        <v>6492.3002327231998</v>
      </c>
      <c r="K186" s="14">
        <f>1292.691579548*E186*F186</f>
        <v>1809.7682113671997</v>
      </c>
      <c r="L186" s="14">
        <f>974.2347288*E186*F186</f>
        <v>1363.9286203199999</v>
      </c>
      <c r="M186" s="14">
        <f t="shared" si="37"/>
        <v>20409.584558994397</v>
      </c>
      <c r="N186" s="18">
        <f>IF(N176&gt;0,(M186/$N$176/12),0)</f>
        <v>1.2148562237496665</v>
      </c>
    </row>
    <row r="187" spans="2:14" ht="24">
      <c r="B187" s="9">
        <v>10</v>
      </c>
      <c r="C187" s="7" t="s">
        <v>17</v>
      </c>
      <c r="D187" s="7" t="s">
        <v>18</v>
      </c>
      <c r="E187" s="11">
        <v>1.4</v>
      </c>
      <c r="F187" s="11">
        <v>1</v>
      </c>
      <c r="G187" s="14">
        <f>81.7446942*E187*F187</f>
        <v>114.44257187999999</v>
      </c>
      <c r="H187" s="14">
        <f t="shared" ref="H187:H195" si="38">0*E187*F187</f>
        <v>0</v>
      </c>
      <c r="I187" s="14">
        <f t="shared" si="36"/>
        <v>0</v>
      </c>
      <c r="J187" s="14">
        <f>77.8209488784*E187*F187</f>
        <v>108.94932842976</v>
      </c>
      <c r="K187" s="14">
        <f>16.754392523232*E187*F187</f>
        <v>23.456149532524798</v>
      </c>
      <c r="L187" s="14">
        <f>16.34893884*E187*F187</f>
        <v>22.888514375999996</v>
      </c>
      <c r="M187" s="14">
        <f t="shared" si="37"/>
        <v>269.7365642182848</v>
      </c>
      <c r="N187" s="18">
        <f>IF(N176&gt;0,(M187/$N$176/12),0)</f>
        <v>1.6055747870136E-2</v>
      </c>
    </row>
    <row r="188" spans="2:14" ht="24">
      <c r="B188" s="9">
        <v>11</v>
      </c>
      <c r="C188" s="7" t="s">
        <v>57</v>
      </c>
      <c r="D188" s="7" t="s">
        <v>18</v>
      </c>
      <c r="E188" s="11">
        <v>1.4</v>
      </c>
      <c r="F188" s="11">
        <v>1</v>
      </c>
      <c r="G188" s="14">
        <f>651.8615358*E188*F188</f>
        <v>912.60615011999982</v>
      </c>
      <c r="H188" s="14">
        <f t="shared" si="38"/>
        <v>0</v>
      </c>
      <c r="I188" s="14">
        <f t="shared" si="36"/>
        <v>0</v>
      </c>
      <c r="J188" s="14">
        <f>620.5721820816*E188*F188</f>
        <v>868.8010549142399</v>
      </c>
      <c r="K188" s="14">
        <f>133.60554037757*E188*F188</f>
        <v>187.047756528598</v>
      </c>
      <c r="L188" s="14">
        <f>130.37230716*E188*F188</f>
        <v>182.52123002399998</v>
      </c>
      <c r="M188" s="14">
        <f t="shared" si="37"/>
        <v>2150.9761915868376</v>
      </c>
      <c r="N188" s="18">
        <f>IF(N176&gt;0,(M188/$N$176/12),0)</f>
        <v>0.12803429711826414</v>
      </c>
    </row>
    <row r="189" spans="2:14">
      <c r="B189" s="9">
        <v>12</v>
      </c>
      <c r="C189" s="7" t="s">
        <v>81</v>
      </c>
      <c r="D189" s="7" t="s">
        <v>22</v>
      </c>
      <c r="E189" s="11">
        <v>1.4</v>
      </c>
      <c r="F189" s="11">
        <v>1</v>
      </c>
      <c r="G189" s="14">
        <f>323.9566938*E189*F189</f>
        <v>453.53937131999993</v>
      </c>
      <c r="H189" s="14">
        <f t="shared" si="38"/>
        <v>0</v>
      </c>
      <c r="I189" s="14">
        <f t="shared" si="36"/>
        <v>0</v>
      </c>
      <c r="J189" s="14">
        <f>308.4067724976*E189*F189</f>
        <v>431.76948149663997</v>
      </c>
      <c r="K189" s="14">
        <f>66.398163961248*E189*F189</f>
        <v>92.957429545747203</v>
      </c>
      <c r="L189" s="14">
        <f>64.79133876*E189*F189</f>
        <v>90.707874263999997</v>
      </c>
      <c r="M189" s="14">
        <f t="shared" si="37"/>
        <v>1068.9741566263872</v>
      </c>
      <c r="N189" s="18">
        <f>IF(N176&gt;0,(M189/$N$176/12),0)</f>
        <v>6.3629414084903996E-2</v>
      </c>
    </row>
    <row r="190" spans="2:14">
      <c r="B190" s="9">
        <v>13</v>
      </c>
      <c r="C190" s="7" t="s">
        <v>82</v>
      </c>
      <c r="D190" s="7" t="s">
        <v>22</v>
      </c>
      <c r="E190" s="11">
        <v>0.9</v>
      </c>
      <c r="F190" s="11">
        <v>1</v>
      </c>
      <c r="G190" s="14">
        <f>264.8405088*E190*F190</f>
        <v>238.35645792000003</v>
      </c>
      <c r="H190" s="14">
        <f t="shared" si="38"/>
        <v>0</v>
      </c>
      <c r="I190" s="14">
        <f t="shared" si="36"/>
        <v>0</v>
      </c>
      <c r="J190" s="14">
        <f>252.1281643776*E190*F190</f>
        <v>226.91534793984002</v>
      </c>
      <c r="K190" s="14">
        <f>54.281710683648*E190*F190</f>
        <v>48.853539615283204</v>
      </c>
      <c r="L190" s="14">
        <f>52.96810176*E190*F190</f>
        <v>47.671291584000002</v>
      </c>
      <c r="M190" s="14">
        <f t="shared" si="37"/>
        <v>561.79663705912321</v>
      </c>
      <c r="N190" s="18">
        <f>IF(N176&gt;0,(M190/$N$176/12),0)</f>
        <v>3.3440276015424E-2</v>
      </c>
    </row>
    <row r="191" spans="2:14" ht="24">
      <c r="B191" s="9">
        <v>14</v>
      </c>
      <c r="C191" s="7" t="s">
        <v>23</v>
      </c>
      <c r="D191" s="7" t="s">
        <v>18</v>
      </c>
      <c r="E191" s="11">
        <v>0.9</v>
      </c>
      <c r="F191" s="11">
        <v>1</v>
      </c>
      <c r="G191" s="14">
        <f>945.85896*E191*F191</f>
        <v>851.27306400000009</v>
      </c>
      <c r="H191" s="14">
        <f t="shared" si="38"/>
        <v>0</v>
      </c>
      <c r="I191" s="14">
        <f t="shared" si="36"/>
        <v>0</v>
      </c>
      <c r="J191" s="14">
        <f>900.45772992*E191*F191</f>
        <v>810.411956928</v>
      </c>
      <c r="K191" s="14">
        <f>193.8632524416*E191*F191</f>
        <v>174.47692719744001</v>
      </c>
      <c r="L191" s="14">
        <f>189.171792*E191*F191</f>
        <v>170.25461280000002</v>
      </c>
      <c r="M191" s="14">
        <f t="shared" si="37"/>
        <v>2006.4165609254401</v>
      </c>
      <c r="N191" s="18">
        <f>IF(N176&gt;0,(M191/$N$176/12),0)</f>
        <v>0.11942955719794286</v>
      </c>
    </row>
    <row r="192" spans="2:14" ht="24">
      <c r="B192" s="9">
        <v>15</v>
      </c>
      <c r="C192" s="7" t="s">
        <v>24</v>
      </c>
      <c r="D192" s="7" t="s">
        <v>18</v>
      </c>
      <c r="E192" s="11">
        <v>0.9</v>
      </c>
      <c r="F192" s="11">
        <v>1</v>
      </c>
      <c r="G192" s="14">
        <f>709.39422*E192*F192</f>
        <v>638.45479799999998</v>
      </c>
      <c r="H192" s="14">
        <f t="shared" si="38"/>
        <v>0</v>
      </c>
      <c r="I192" s="14">
        <f t="shared" si="36"/>
        <v>0</v>
      </c>
      <c r="J192" s="14">
        <f>675.34329744*E192*F192</f>
        <v>607.80896769600008</v>
      </c>
      <c r="K192" s="14">
        <f>145.3974393312*E192*F192</f>
        <v>130.85769539807998</v>
      </c>
      <c r="L192" s="14">
        <f>141.878844*E192*F192</f>
        <v>127.69095959999999</v>
      </c>
      <c r="M192" s="14">
        <f t="shared" si="37"/>
        <v>1504.8124206940802</v>
      </c>
      <c r="N192" s="18">
        <f>IF(N176&gt;0,(M192/$N$176/12),0)</f>
        <v>8.9572167898457164E-2</v>
      </c>
    </row>
    <row r="193" spans="2:14">
      <c r="B193" s="9">
        <v>16</v>
      </c>
      <c r="C193" s="7" t="s">
        <v>83</v>
      </c>
      <c r="D193" s="7" t="s">
        <v>26</v>
      </c>
      <c r="E193" s="11">
        <v>0.9</v>
      </c>
      <c r="F193" s="11">
        <v>1</v>
      </c>
      <c r="G193" s="14">
        <f>662.101272*E193*F193</f>
        <v>595.89114480000001</v>
      </c>
      <c r="H193" s="14">
        <f t="shared" si="38"/>
        <v>0</v>
      </c>
      <c r="I193" s="14">
        <f t="shared" si="36"/>
        <v>0</v>
      </c>
      <c r="J193" s="14">
        <f>630.320410944*E193*F193</f>
        <v>567.28836984959992</v>
      </c>
      <c r="K193" s="14">
        <f>135.70427670912*E193*F193</f>
        <v>122.133849038208</v>
      </c>
      <c r="L193" s="14">
        <f>132.4202544*E193*F193</f>
        <v>119.17822896000001</v>
      </c>
      <c r="M193" s="14">
        <f t="shared" si="37"/>
        <v>1404.4915926478079</v>
      </c>
      <c r="N193" s="18">
        <f>IF(N176&gt;0,(M193/$N$176/12),0)</f>
        <v>8.3600690038560008E-2</v>
      </c>
    </row>
    <row r="194" spans="2:14" ht="24">
      <c r="B194" s="9">
        <v>17</v>
      </c>
      <c r="C194" s="7" t="s">
        <v>84</v>
      </c>
      <c r="D194" s="7" t="s">
        <v>85</v>
      </c>
      <c r="E194" s="11">
        <v>0.32</v>
      </c>
      <c r="F194" s="11">
        <v>1</v>
      </c>
      <c r="G194" s="14">
        <f>14187.8844*E194*F194</f>
        <v>4540.1230080000005</v>
      </c>
      <c r="H194" s="14">
        <f t="shared" si="38"/>
        <v>0</v>
      </c>
      <c r="I194" s="14">
        <f t="shared" si="36"/>
        <v>0</v>
      </c>
      <c r="J194" s="14">
        <f>13506.8659488*E194*F194</f>
        <v>4322.1971036160003</v>
      </c>
      <c r="K194" s="14">
        <f>2907.948786624*E194*F194</f>
        <v>930.54361171968003</v>
      </c>
      <c r="L194" s="14">
        <f>2837.57688*E194*F194</f>
        <v>908.0246016000001</v>
      </c>
      <c r="M194" s="14">
        <f t="shared" si="37"/>
        <v>10700.888324935682</v>
      </c>
      <c r="N194" s="18">
        <f>IF(N176&gt;0,(M194/$N$176/12),0)</f>
        <v>0.63695763838902864</v>
      </c>
    </row>
    <row r="195" spans="2:14">
      <c r="B195" s="9">
        <v>18</v>
      </c>
      <c r="C195" s="7" t="s">
        <v>86</v>
      </c>
      <c r="D195" s="7" t="s">
        <v>87</v>
      </c>
      <c r="E195" s="11">
        <v>36</v>
      </c>
      <c r="F195" s="11">
        <v>1</v>
      </c>
      <c r="G195" s="14">
        <f>205.7243238*E195*F195</f>
        <v>7406.0756568000006</v>
      </c>
      <c r="H195" s="14">
        <f t="shared" si="38"/>
        <v>0</v>
      </c>
      <c r="I195" s="14">
        <f t="shared" si="36"/>
        <v>0</v>
      </c>
      <c r="J195" s="14">
        <f>195.8495562576*E195*F195</f>
        <v>7050.5840252735998</v>
      </c>
      <c r="K195" s="14">
        <f>42.165257406048*E195*F195</f>
        <v>1517.949266617728</v>
      </c>
      <c r="L195" s="14">
        <f>41.14486476*E195*F195</f>
        <v>1481.21513136</v>
      </c>
      <c r="M195" s="14">
        <f t="shared" si="37"/>
        <v>17455.82408005133</v>
      </c>
      <c r="N195" s="18">
        <f>IF(N176&gt;0,(M195/$N$176/12),0)</f>
        <v>1.039037147622103</v>
      </c>
    </row>
    <row r="196" spans="2:14" ht="36">
      <c r="B196" s="9">
        <v>19</v>
      </c>
      <c r="C196" s="7" t="s">
        <v>88</v>
      </c>
      <c r="D196" s="7" t="s">
        <v>89</v>
      </c>
      <c r="E196" s="11">
        <v>0.1</v>
      </c>
      <c r="F196" s="11">
        <v>1</v>
      </c>
      <c r="G196" s="14">
        <f>7425.045855*E196*F196</f>
        <v>742.50458550000008</v>
      </c>
      <c r="H196" s="14">
        <f>594.4391865*E196*F196</f>
        <v>59.443918650000001</v>
      </c>
      <c r="I196" s="14">
        <f t="shared" si="36"/>
        <v>0</v>
      </c>
      <c r="J196" s="14">
        <f>7068.64365396*E196*F196</f>
        <v>706.86436539600004</v>
      </c>
      <c r="K196" s="14">
        <f>1584.2535130233*E196*F196</f>
        <v>158.42535130233</v>
      </c>
      <c r="L196" s="14">
        <f>1485.009171*E196*F196</f>
        <v>148.50091710000001</v>
      </c>
      <c r="M196" s="14">
        <f t="shared" si="37"/>
        <v>1815.7391379483299</v>
      </c>
      <c r="N196" s="18">
        <f>IF(N176&gt;0,(M196/$N$176/12),0)</f>
        <v>0.1080797105921625</v>
      </c>
    </row>
    <row r="197" spans="2:14" ht="24">
      <c r="B197" s="9">
        <v>20</v>
      </c>
      <c r="C197" s="7" t="s">
        <v>90</v>
      </c>
      <c r="D197" s="7" t="s">
        <v>18</v>
      </c>
      <c r="E197" s="11">
        <v>1.4</v>
      </c>
      <c r="F197" s="11">
        <v>1</v>
      </c>
      <c r="G197" s="14">
        <f>880.327476*E197*F197</f>
        <v>1232.4584663999999</v>
      </c>
      <c r="H197" s="14">
        <f>0*E197*F197</f>
        <v>0</v>
      </c>
      <c r="I197" s="14">
        <f t="shared" si="36"/>
        <v>0</v>
      </c>
      <c r="J197" s="14">
        <f>838.071757152*E197*F197</f>
        <v>1173.3004600127999</v>
      </c>
      <c r="K197" s="14">
        <f>180.43191948096*E197*F197</f>
        <v>252.60468727334398</v>
      </c>
      <c r="L197" s="14">
        <f>176.0654952*E197*F197</f>
        <v>246.49169327999996</v>
      </c>
      <c r="M197" s="14">
        <f t="shared" si="37"/>
        <v>2904.8553069661443</v>
      </c>
      <c r="N197" s="18">
        <f>IF(N176&gt;0,(M197/$N$176/12),0)</f>
        <v>0.17290805398608</v>
      </c>
    </row>
    <row r="198" spans="2:14" ht="24">
      <c r="B198" s="9">
        <v>21</v>
      </c>
      <c r="C198" s="7" t="s">
        <v>91</v>
      </c>
      <c r="D198" s="7" t="s">
        <v>18</v>
      </c>
      <c r="E198" s="11">
        <v>1.4</v>
      </c>
      <c r="F198" s="11">
        <v>1</v>
      </c>
      <c r="G198" s="14">
        <f>880.327476*E198*F198</f>
        <v>1232.4584663999999</v>
      </c>
      <c r="H198" s="14">
        <f>0*E198*F198</f>
        <v>0</v>
      </c>
      <c r="I198" s="14">
        <f t="shared" si="36"/>
        <v>0</v>
      </c>
      <c r="J198" s="14">
        <f>838.071757152*E198*F198</f>
        <v>1173.3004600127999</v>
      </c>
      <c r="K198" s="14">
        <f>180.43191948096*E198*F198</f>
        <v>252.60468727334398</v>
      </c>
      <c r="L198" s="14">
        <f>176.0654952*E198*F198</f>
        <v>246.49169327999996</v>
      </c>
      <c r="M198" s="14">
        <f t="shared" si="37"/>
        <v>2904.8553069661443</v>
      </c>
      <c r="N198" s="18">
        <f>IF(N176&gt;0,(M198/$N$176/12),0)</f>
        <v>0.17290805398608</v>
      </c>
    </row>
    <row r="199" spans="2:14" ht="24">
      <c r="B199" s="9">
        <v>22</v>
      </c>
      <c r="C199" s="7" t="s">
        <v>92</v>
      </c>
      <c r="D199" s="7" t="s">
        <v>18</v>
      </c>
      <c r="E199" s="11">
        <v>1.4</v>
      </c>
      <c r="F199" s="11">
        <v>1</v>
      </c>
      <c r="G199" s="14">
        <f>880.327476*E199*F199</f>
        <v>1232.4584663999999</v>
      </c>
      <c r="H199" s="14">
        <f>0*E199*F199</f>
        <v>0</v>
      </c>
      <c r="I199" s="14">
        <f t="shared" si="36"/>
        <v>0</v>
      </c>
      <c r="J199" s="14">
        <f>838.071757152*E199*F199</f>
        <v>1173.3004600127999</v>
      </c>
      <c r="K199" s="14">
        <f>180.43191948096*E199*F199</f>
        <v>252.60468727334398</v>
      </c>
      <c r="L199" s="14">
        <f>176.0654952*E199*F199</f>
        <v>246.49169327999996</v>
      </c>
      <c r="M199" s="14">
        <f t="shared" si="37"/>
        <v>2904.8553069661443</v>
      </c>
      <c r="N199" s="18">
        <f>IF(N176&gt;0,(M199/$N$176/12),0)</f>
        <v>0.17290805398608</v>
      </c>
    </row>
    <row r="200" spans="2:14" ht="24">
      <c r="B200" s="9">
        <v>23</v>
      </c>
      <c r="C200" s="7" t="s">
        <v>27</v>
      </c>
      <c r="D200" s="7" t="s">
        <v>28</v>
      </c>
      <c r="E200" s="11">
        <v>0.06</v>
      </c>
      <c r="F200" s="11">
        <v>1</v>
      </c>
      <c r="G200" s="14">
        <f>2128.18266*E200*F200</f>
        <v>127.69095959999999</v>
      </c>
      <c r="H200" s="14">
        <f>0*E200*F200</f>
        <v>0</v>
      </c>
      <c r="I200" s="14">
        <f t="shared" si="36"/>
        <v>0</v>
      </c>
      <c r="J200" s="14">
        <f>2026.02989232*E200*F200</f>
        <v>121.5617935392</v>
      </c>
      <c r="K200" s="14">
        <f>436.1923179936*E200*F200</f>
        <v>26.171539079616</v>
      </c>
      <c r="L200" s="14">
        <f>425.636532*E200*F200</f>
        <v>25.538191919999999</v>
      </c>
      <c r="M200" s="14">
        <f t="shared" si="37"/>
        <v>300.96248413881597</v>
      </c>
      <c r="N200" s="18">
        <f>IF(N176&gt;0,(M200/$N$176/12),0)</f>
        <v>1.7914433579691427E-2</v>
      </c>
    </row>
    <row r="201" spans="2:14">
      <c r="B201" s="9">
        <v>24</v>
      </c>
      <c r="C201" s="7" t="s">
        <v>29</v>
      </c>
      <c r="D201" s="7" t="s">
        <v>30</v>
      </c>
      <c r="E201" s="11">
        <v>1</v>
      </c>
      <c r="F201" s="11">
        <v>1</v>
      </c>
      <c r="G201" s="14">
        <f>1048.0089*E201*F201</f>
        <v>1048.0089</v>
      </c>
      <c r="H201" s="14">
        <f>463.37184*E201*F201</f>
        <v>463.37184000000002</v>
      </c>
      <c r="I201" s="14">
        <f t="shared" si="36"/>
        <v>0</v>
      </c>
      <c r="J201" s="14">
        <f>997.7044728*E201*F201</f>
        <v>997.70447279999996</v>
      </c>
      <c r="K201" s="14">
        <f>263.453947344*E201*F201</f>
        <v>263.45394734400003</v>
      </c>
      <c r="L201" s="14">
        <f>209.60178*E201*F201</f>
        <v>209.60177999999999</v>
      </c>
      <c r="M201" s="14">
        <f t="shared" si="37"/>
        <v>2982.1409401440001</v>
      </c>
      <c r="N201" s="18">
        <f>IF(N176&gt;0,(M201/$N$176/12),0)</f>
        <v>0.17750838929428572</v>
      </c>
    </row>
    <row r="202" spans="2:14">
      <c r="B202" s="9">
        <v>25</v>
      </c>
      <c r="C202" s="7" t="s">
        <v>31</v>
      </c>
      <c r="D202" s="7" t="s">
        <v>30</v>
      </c>
      <c r="E202" s="11">
        <v>1</v>
      </c>
      <c r="F202" s="11">
        <v>1</v>
      </c>
      <c r="G202" s="14">
        <f>419.20356*E202*F202</f>
        <v>419.20355999999998</v>
      </c>
      <c r="H202" s="14">
        <f>0*E202*F202</f>
        <v>0</v>
      </c>
      <c r="I202" s="14">
        <f t="shared" si="36"/>
        <v>0</v>
      </c>
      <c r="J202" s="14">
        <f>399.08178912*E202*F202</f>
        <v>399.08178912</v>
      </c>
      <c r="K202" s="14">
        <f>85.9199616576*E202*F202</f>
        <v>85.919961657599998</v>
      </c>
      <c r="L202" s="14">
        <f>83.840712*E202*F202</f>
        <v>83.840711999999996</v>
      </c>
      <c r="M202" s="14">
        <f t="shared" si="37"/>
        <v>988.0460227776</v>
      </c>
      <c r="N202" s="18">
        <f>IF(N176&gt;0,(M202/$N$176/12),0)</f>
        <v>5.8812263260571429E-2</v>
      </c>
    </row>
    <row r="203" spans="2:14">
      <c r="B203" s="9">
        <v>26</v>
      </c>
      <c r="C203" s="7" t="s">
        <v>32</v>
      </c>
      <c r="D203" s="7" t="s">
        <v>33</v>
      </c>
      <c r="E203" s="11">
        <v>1</v>
      </c>
      <c r="F203" s="11">
        <v>1</v>
      </c>
      <c r="G203" s="14">
        <f>59.904400011784*E203*F203</f>
        <v>59.904400011783999</v>
      </c>
      <c r="H203" s="14">
        <f>0*E203*F203</f>
        <v>0</v>
      </c>
      <c r="I203" s="14">
        <f t="shared" si="36"/>
        <v>0</v>
      </c>
      <c r="J203" s="14">
        <f>57.028988811219*E203*F203</f>
        <v>57.028988811219001</v>
      </c>
      <c r="K203" s="14">
        <f>12.278005826415*E203*F203</f>
        <v>12.278005826415001</v>
      </c>
      <c r="L203" s="14">
        <f>11.980880002357*E203*F203</f>
        <v>11.980880002357001</v>
      </c>
      <c r="M203" s="14">
        <f t="shared" si="37"/>
        <v>141.19227465177499</v>
      </c>
      <c r="N203" s="18">
        <f>IF(N176&gt;0,(M203/$N$176/12),0)</f>
        <v>8.4043020626056539E-3</v>
      </c>
    </row>
    <row r="204" spans="2:14" ht="24">
      <c r="B204" s="9">
        <v>27</v>
      </c>
      <c r="C204" s="7" t="s">
        <v>34</v>
      </c>
      <c r="D204" s="7" t="s">
        <v>18</v>
      </c>
      <c r="E204" s="11">
        <v>0.9</v>
      </c>
      <c r="F204" s="11">
        <v>1</v>
      </c>
      <c r="G204" s="14">
        <f>2364.6474*E204*F204</f>
        <v>2128.1826599999999</v>
      </c>
      <c r="H204" s="14">
        <f>0*E204*F204</f>
        <v>0</v>
      </c>
      <c r="I204" s="14">
        <f t="shared" si="36"/>
        <v>0</v>
      </c>
      <c r="J204" s="14">
        <f>2251.1443248*E204*F204</f>
        <v>2026.02989232</v>
      </c>
      <c r="K204" s="14">
        <f>484.658131104*E204*F204</f>
        <v>436.1923179936</v>
      </c>
      <c r="L204" s="14">
        <f>472.92948*E204*F204</f>
        <v>425.63653200000005</v>
      </c>
      <c r="M204" s="14">
        <f t="shared" si="37"/>
        <v>5016.0414023136009</v>
      </c>
      <c r="N204" s="18">
        <f>IF(N176&gt;0,(M204/$N$176/12),0)</f>
        <v>0.2985738929948572</v>
      </c>
    </row>
    <row r="205" spans="2:14" ht="36">
      <c r="B205" s="9">
        <v>28</v>
      </c>
      <c r="C205" s="7" t="s">
        <v>93</v>
      </c>
      <c r="D205" s="7" t="s">
        <v>94</v>
      </c>
      <c r="E205" s="11">
        <v>0.9</v>
      </c>
      <c r="F205" s="11">
        <v>1</v>
      </c>
      <c r="G205" s="14">
        <f>945.85896*E205*F205</f>
        <v>851.27306400000009</v>
      </c>
      <c r="H205" s="14">
        <f>0*E205*F205</f>
        <v>0</v>
      </c>
      <c r="I205" s="14">
        <f t="shared" si="36"/>
        <v>0</v>
      </c>
      <c r="J205" s="14">
        <f>900.45772992*E205*F205</f>
        <v>810.411956928</v>
      </c>
      <c r="K205" s="14">
        <f>193.8632524416*E205*F205</f>
        <v>174.47692719744001</v>
      </c>
      <c r="L205" s="14">
        <f>189.171792*E205*F205</f>
        <v>170.25461280000002</v>
      </c>
      <c r="M205" s="14">
        <f t="shared" si="37"/>
        <v>2006.4165609254401</v>
      </c>
      <c r="N205" s="18">
        <f>IF(N176&gt;0,(M205/$N$176/12),0)</f>
        <v>0.11942955719794286</v>
      </c>
    </row>
    <row r="206" spans="2:14" ht="24">
      <c r="B206" s="9">
        <v>29</v>
      </c>
      <c r="C206" s="7" t="s">
        <v>95</v>
      </c>
      <c r="D206" s="7" t="s">
        <v>96</v>
      </c>
      <c r="E206" s="11">
        <v>1</v>
      </c>
      <c r="F206" s="11">
        <v>1</v>
      </c>
      <c r="G206" s="14">
        <f>823.6943475*E206*F206</f>
        <v>823.69434750000005</v>
      </c>
      <c r="H206" s="14">
        <f>7.100526745*E206*F206</f>
        <v>7.1005267449999998</v>
      </c>
      <c r="I206" s="14">
        <f t="shared" si="36"/>
        <v>0</v>
      </c>
      <c r="J206" s="14">
        <f>784.15701882*E206*F206</f>
        <v>784.15701881999996</v>
      </c>
      <c r="K206" s="14">
        <f>169.56994877182*E206*F206</f>
        <v>169.56994877182001</v>
      </c>
      <c r="L206" s="14">
        <f>164.7388695*E206*F206</f>
        <v>164.73886949999999</v>
      </c>
      <c r="M206" s="14">
        <f t="shared" si="37"/>
        <v>1949.2607113368201</v>
      </c>
      <c r="N206" s="18">
        <f>IF(N176&gt;0,(M206/$N$176/12),0)</f>
        <v>0.11602742329385834</v>
      </c>
    </row>
    <row r="207" spans="2:14" ht="24">
      <c r="B207" s="9">
        <v>30</v>
      </c>
      <c r="C207" s="7" t="s">
        <v>97</v>
      </c>
      <c r="D207" s="7" t="s">
        <v>96</v>
      </c>
      <c r="E207" s="11">
        <v>1</v>
      </c>
      <c r="F207" s="11">
        <v>1</v>
      </c>
      <c r="G207" s="14">
        <f>25.1522136*E207*F207</f>
        <v>25.1522136</v>
      </c>
      <c r="H207" s="14">
        <f>0*E207*F207</f>
        <v>0</v>
      </c>
      <c r="I207" s="14">
        <f t="shared" si="36"/>
        <v>0</v>
      </c>
      <c r="J207" s="14">
        <f>23.9449073472*E207*F207</f>
        <v>23.944907347200001</v>
      </c>
      <c r="K207" s="14">
        <f>5.155197699456*E207*F207</f>
        <v>5.155197699456</v>
      </c>
      <c r="L207" s="14">
        <f>5.03044272*E207*F207</f>
        <v>5.0304427199999999</v>
      </c>
      <c r="M207" s="14">
        <f t="shared" si="37"/>
        <v>59.28276136665599</v>
      </c>
      <c r="N207" s="18">
        <f>IF(N176&gt;0,(M207/$N$176/12),0)</f>
        <v>3.5287357956342853E-3</v>
      </c>
    </row>
    <row r="208" spans="2:14" ht="24">
      <c r="B208" s="9">
        <v>31</v>
      </c>
      <c r="C208" s="7" t="s">
        <v>37</v>
      </c>
      <c r="D208" s="7" t="s">
        <v>38</v>
      </c>
      <c r="E208" s="11">
        <v>36</v>
      </c>
      <c r="F208" s="11">
        <v>1</v>
      </c>
      <c r="G208" s="14">
        <f>194.0389362*E208*F208</f>
        <v>6985.4017032000002</v>
      </c>
      <c r="H208" s="14">
        <f>0*E208*F208</f>
        <v>0</v>
      </c>
      <c r="I208" s="14">
        <f t="shared" si="36"/>
        <v>0</v>
      </c>
      <c r="J208" s="14">
        <f>184.7250672624*E208*F208</f>
        <v>6650.1024214463996</v>
      </c>
      <c r="K208" s="14">
        <f>39.770220363552*E208*F208</f>
        <v>1431.7279330878719</v>
      </c>
      <c r="L208" s="14">
        <f>38.80778724*E208*F208</f>
        <v>1397.08034064</v>
      </c>
      <c r="M208" s="14">
        <f t="shared" si="37"/>
        <v>16464.31239837427</v>
      </c>
      <c r="N208" s="18">
        <f>IF(N176&gt;0,(M208/$N$176/12),0)</f>
        <v>0.9800185951413255</v>
      </c>
    </row>
    <row r="209" spans="2:14" ht="24">
      <c r="B209" s="9">
        <v>32</v>
      </c>
      <c r="C209" s="7" t="s">
        <v>98</v>
      </c>
      <c r="D209" s="7" t="s">
        <v>99</v>
      </c>
      <c r="E209" s="11">
        <v>1</v>
      </c>
      <c r="F209" s="11">
        <v>1</v>
      </c>
      <c r="G209" s="14">
        <f>11737.69968*E209*F209</f>
        <v>11737.69968</v>
      </c>
      <c r="H209" s="14">
        <f>0*E209*F209</f>
        <v>0</v>
      </c>
      <c r="I209" s="14">
        <f t="shared" si="36"/>
        <v>0</v>
      </c>
      <c r="J209" s="14">
        <f>11174.29009536*E209*F209</f>
        <v>11174.29009536</v>
      </c>
      <c r="K209" s="14">
        <f>2405.7589264128*E209*F209</f>
        <v>2405.7589264128001</v>
      </c>
      <c r="L209" s="14">
        <f>2347.539936*E209*F209</f>
        <v>2347.5399360000001</v>
      </c>
      <c r="M209" s="14">
        <f t="shared" si="37"/>
        <v>27665.288637772803</v>
      </c>
      <c r="N209" s="18">
        <f>IF(N176&gt;0,(M209/$N$176/12),0)</f>
        <v>1.6467433712960002</v>
      </c>
    </row>
    <row r="210" spans="2:14" ht="24">
      <c r="B210" s="9">
        <v>33</v>
      </c>
      <c r="C210" s="7" t="s">
        <v>39</v>
      </c>
      <c r="D210" s="7" t="s">
        <v>40</v>
      </c>
      <c r="E210" s="11">
        <v>0.96</v>
      </c>
      <c r="F210" s="11">
        <v>1</v>
      </c>
      <c r="G210" s="14">
        <f>3982.43382*E210*F210</f>
        <v>3823.1364672</v>
      </c>
      <c r="H210" s="14">
        <f>0*E210*F210</f>
        <v>0</v>
      </c>
      <c r="I210" s="14">
        <f t="shared" si="36"/>
        <v>0</v>
      </c>
      <c r="J210" s="14">
        <f>3791.27699664*E210*F210</f>
        <v>3639.6259167744001</v>
      </c>
      <c r="K210" s="14">
        <f>816.2396357472*E210*F210</f>
        <v>783.59005031731203</v>
      </c>
      <c r="L210" s="14">
        <f>796.486764*E210*F210</f>
        <v>764.62729344000002</v>
      </c>
      <c r="M210" s="14">
        <f t="shared" si="37"/>
        <v>9010.979727731712</v>
      </c>
      <c r="N210" s="18">
        <f>IF(N176&gt;0,(M210/$N$176/12),0)</f>
        <v>0.53636784093641143</v>
      </c>
    </row>
    <row r="211" spans="2:14" ht="84">
      <c r="B211" s="9">
        <v>34</v>
      </c>
      <c r="C211" s="7" t="s">
        <v>41</v>
      </c>
      <c r="D211" s="7" t="s">
        <v>60</v>
      </c>
      <c r="E211" s="11">
        <v>1.4</v>
      </c>
      <c r="F211" s="11">
        <v>3</v>
      </c>
      <c r="G211" s="14">
        <f>2608.7680836*E211*F211</f>
        <v>10956.825951119999</v>
      </c>
      <c r="H211" s="14">
        <f>0*E211*F211</f>
        <v>0</v>
      </c>
      <c r="I211" s="14">
        <f t="shared" si="36"/>
        <v>0</v>
      </c>
      <c r="J211" s="14">
        <f>2483.5472155872*E211*F211</f>
        <v>10430.898305466239</v>
      </c>
      <c r="K211" s="14">
        <f>534.69310641466*E211*F211</f>
        <v>2245.711046941572</v>
      </c>
      <c r="L211" s="14">
        <f>521.75361672*E211*F211</f>
        <v>2191.3651902239999</v>
      </c>
      <c r="M211" s="14">
        <f t="shared" si="37"/>
        <v>25824.800493751813</v>
      </c>
      <c r="N211" s="18">
        <f>IF(N176&gt;0,(M211/$N$176/12),0)</f>
        <v>1.5371905055804651</v>
      </c>
    </row>
    <row r="212" spans="2:14" ht="20.100000000000001" customHeight="1">
      <c r="B212" s="56" t="s">
        <v>43</v>
      </c>
      <c r="C212" s="57"/>
      <c r="D212" s="57"/>
      <c r="E212" s="58"/>
      <c r="F212" s="58"/>
      <c r="G212" s="22">
        <f t="shared" ref="G212:N212" si="39">SUM(G178:G211)</f>
        <v>88535.423743959633</v>
      </c>
      <c r="H212" s="22">
        <f t="shared" si="39"/>
        <v>6498.8179299448202</v>
      </c>
      <c r="I212" s="22">
        <f t="shared" si="39"/>
        <v>0</v>
      </c>
      <c r="J212" s="22">
        <f t="shared" si="39"/>
        <v>84285.723404249555</v>
      </c>
      <c r="K212" s="22">
        <f t="shared" si="39"/>
        <v>18828.596333206213</v>
      </c>
      <c r="L212" s="22">
        <f t="shared" si="39"/>
        <v>17707.084748791931</v>
      </c>
      <c r="M212" s="22">
        <f t="shared" si="39"/>
        <v>215855.64616015222</v>
      </c>
      <c r="N212" s="18">
        <f t="shared" si="39"/>
        <v>12.848550366675724</v>
      </c>
    </row>
    <row r="213" spans="2:14" ht="21.95" customHeight="1">
      <c r="B213" s="51" t="s">
        <v>44</v>
      </c>
      <c r="C213" s="52"/>
      <c r="D213" s="52"/>
      <c r="E213" s="53"/>
      <c r="F213" s="53"/>
      <c r="G213" s="54"/>
      <c r="H213" s="54"/>
      <c r="I213" s="54"/>
      <c r="J213" s="54"/>
      <c r="K213" s="54"/>
      <c r="L213" s="54"/>
      <c r="M213" s="54"/>
      <c r="N213" s="55"/>
    </row>
    <row r="214" spans="2:14" ht="36">
      <c r="B214" s="9">
        <v>35</v>
      </c>
      <c r="C214" s="7" t="s">
        <v>61</v>
      </c>
      <c r="D214" s="7" t="s">
        <v>62</v>
      </c>
      <c r="E214" s="11">
        <v>0.9</v>
      </c>
      <c r="F214" s="11">
        <v>52</v>
      </c>
      <c r="G214" s="14">
        <f>188.49226515*E214*F214</f>
        <v>8821.4380090200011</v>
      </c>
      <c r="H214" s="14">
        <f>0*E214*F214</f>
        <v>0</v>
      </c>
      <c r="I214" s="14">
        <f t="shared" ref="I214:I226" si="40">0*E214*F214</f>
        <v>0</v>
      </c>
      <c r="J214" s="14">
        <f>179.4446364228*E214*F214</f>
        <v>8398.0089845870389</v>
      </c>
      <c r="K214" s="14">
        <f>38.633374665144*E214*F214</f>
        <v>1808.041934328739</v>
      </c>
      <c r="L214" s="14">
        <f>37.69845303*E214*F214</f>
        <v>1764.2876018040004</v>
      </c>
      <c r="M214" s="14">
        <f t="shared" ref="M214:M226" si="41">SUM(G214:L214)</f>
        <v>20791.776529739778</v>
      </c>
      <c r="N214" s="18">
        <f>IF(N176&gt;0,(M214/$N$176/12),0)</f>
        <v>1.237605745817844</v>
      </c>
    </row>
    <row r="215" spans="2:14" ht="24">
      <c r="B215" s="9">
        <v>36</v>
      </c>
      <c r="C215" s="7" t="s">
        <v>63</v>
      </c>
      <c r="D215" s="7" t="s">
        <v>64</v>
      </c>
      <c r="E215" s="11">
        <v>0.9</v>
      </c>
      <c r="F215" s="11">
        <v>52</v>
      </c>
      <c r="G215" s="14">
        <f>431.4421125*E215*F215</f>
        <v>20191.490865</v>
      </c>
      <c r="H215" s="14">
        <f>65.18338*E215*F215</f>
        <v>3050.5821839999999</v>
      </c>
      <c r="I215" s="14">
        <f t="shared" si="40"/>
        <v>0</v>
      </c>
      <c r="J215" s="14">
        <f>410.7328911*E215*F215</f>
        <v>19222.299303479998</v>
      </c>
      <c r="K215" s="14">
        <f>95.272630278*E215*F215</f>
        <v>4458.7590970103993</v>
      </c>
      <c r="L215" s="14">
        <f>86.2884225*E215*F215</f>
        <v>4038.2981730000001</v>
      </c>
      <c r="M215" s="14">
        <f t="shared" si="41"/>
        <v>50961.429622490403</v>
      </c>
      <c r="N215" s="18">
        <f>IF(N176&gt;0,(M215/$N$176/12),0)</f>
        <v>3.0334184299101428</v>
      </c>
    </row>
    <row r="216" spans="2:14" ht="24">
      <c r="B216" s="9">
        <v>37</v>
      </c>
      <c r="C216" s="7" t="s">
        <v>100</v>
      </c>
      <c r="D216" s="7" t="s">
        <v>46</v>
      </c>
      <c r="E216" s="11">
        <v>0.9</v>
      </c>
      <c r="F216" s="11">
        <v>1</v>
      </c>
      <c r="G216" s="14">
        <f>441.825*E216*F216</f>
        <v>397.64249999999998</v>
      </c>
      <c r="H216" s="14">
        <f>2.34657845*E216*F216</f>
        <v>2.1119206049999999</v>
      </c>
      <c r="I216" s="14">
        <f t="shared" si="40"/>
        <v>0</v>
      </c>
      <c r="J216" s="14">
        <f>420.6174*E216*F216</f>
        <v>378.55565999999999</v>
      </c>
      <c r="K216" s="14">
        <f>90.80284273725*E216*F216</f>
        <v>81.722558463525004</v>
      </c>
      <c r="L216" s="14">
        <f>88.365*E216*F216</f>
        <v>79.528499999999994</v>
      </c>
      <c r="M216" s="14">
        <f t="shared" si="41"/>
        <v>939.56113906852499</v>
      </c>
      <c r="N216" s="18">
        <f>IF(N176&gt;0,(M216/$N$176/12),0)</f>
        <v>5.5926258277888392E-2</v>
      </c>
    </row>
    <row r="217" spans="2:14">
      <c r="B217" s="9">
        <v>38</v>
      </c>
      <c r="C217" s="7" t="s">
        <v>101</v>
      </c>
      <c r="D217" s="7" t="s">
        <v>102</v>
      </c>
      <c r="E217" s="11">
        <v>0.2</v>
      </c>
      <c r="F217" s="11">
        <v>1</v>
      </c>
      <c r="G217" s="14">
        <f>406.479*E217*F217</f>
        <v>81.2958</v>
      </c>
      <c r="H217" s="14">
        <f>1.479364675*E217*F217</f>
        <v>0.295872935</v>
      </c>
      <c r="I217" s="14">
        <f t="shared" si="40"/>
        <v>0</v>
      </c>
      <c r="J217" s="14">
        <f>386.968008*E217*F217</f>
        <v>77.393601600000011</v>
      </c>
      <c r="K217" s="14">
        <f>83.467269130875*E217*F217</f>
        <v>16.693453826174999</v>
      </c>
      <c r="L217" s="14">
        <f>81.2958*E217*F217</f>
        <v>16.259160000000001</v>
      </c>
      <c r="M217" s="14">
        <f t="shared" si="41"/>
        <v>191.93788836117503</v>
      </c>
      <c r="N217" s="18">
        <f>IF(N176&gt;0,(M217/$N$176/12),0)</f>
        <v>1.1424874307212798E-2</v>
      </c>
    </row>
    <row r="218" spans="2:14">
      <c r="B218" s="9">
        <v>39</v>
      </c>
      <c r="C218" s="7" t="s">
        <v>103</v>
      </c>
      <c r="D218" s="7" t="s">
        <v>104</v>
      </c>
      <c r="E218" s="11">
        <v>1</v>
      </c>
      <c r="F218" s="11">
        <v>1</v>
      </c>
      <c r="G218" s="14">
        <f>19.75046115*E218*F218</f>
        <v>19.75046115</v>
      </c>
      <c r="H218" s="14">
        <f>1011.0145248*E218*F218</f>
        <v>1011.0145248</v>
      </c>
      <c r="I218" s="14">
        <f t="shared" si="40"/>
        <v>0</v>
      </c>
      <c r="J218" s="14">
        <f>18.8024390148*E218*F218</f>
        <v>18.802439014800001</v>
      </c>
      <c r="K218" s="14">
        <f>110.2045796213*E218*F218</f>
        <v>110.2045796213</v>
      </c>
      <c r="L218" s="14">
        <f>3.95009223*E218*F218</f>
        <v>3.9500922300000001</v>
      </c>
      <c r="M218" s="14">
        <f t="shared" si="41"/>
        <v>1163.7220968161</v>
      </c>
      <c r="N218" s="18">
        <f>IF(N176&gt;0,(M218/$N$176/12),0)</f>
        <v>6.9269172429529763E-2</v>
      </c>
    </row>
    <row r="219" spans="2:14">
      <c r="B219" s="9">
        <v>40</v>
      </c>
      <c r="C219" s="7" t="s">
        <v>105</v>
      </c>
      <c r="D219" s="7" t="s">
        <v>106</v>
      </c>
      <c r="E219" s="11">
        <v>1</v>
      </c>
      <c r="F219" s="11">
        <v>1</v>
      </c>
      <c r="G219" s="14">
        <f>7.86006675*E219*F219</f>
        <v>7.8600667499999997</v>
      </c>
      <c r="H219" s="14">
        <f t="shared" ref="H219:H225" si="42">0*E219*F219</f>
        <v>0</v>
      </c>
      <c r="I219" s="14">
        <f t="shared" si="40"/>
        <v>0</v>
      </c>
      <c r="J219" s="14">
        <f>7.482783546*E219*F219</f>
        <v>7.4827835460000003</v>
      </c>
      <c r="K219" s="14">
        <f>1.61099928108*E219*F219</f>
        <v>1.61099928108</v>
      </c>
      <c r="L219" s="14">
        <f>1.57201335*E219*F219</f>
        <v>1.57201335</v>
      </c>
      <c r="M219" s="14">
        <f t="shared" si="41"/>
        <v>18.525862927079999</v>
      </c>
      <c r="N219" s="18">
        <f>IF(N176&gt;0,(M219/$N$176/12),0)</f>
        <v>1.1027299361357141E-3</v>
      </c>
    </row>
    <row r="220" spans="2:14" ht="36">
      <c r="B220" s="9">
        <v>41</v>
      </c>
      <c r="C220" s="7" t="s">
        <v>49</v>
      </c>
      <c r="D220" s="7" t="s">
        <v>50</v>
      </c>
      <c r="E220" s="11">
        <v>0.09</v>
      </c>
      <c r="F220" s="11">
        <v>52</v>
      </c>
      <c r="G220" s="14">
        <f>7364.3391*E220*F220</f>
        <v>34465.106988</v>
      </c>
      <c r="H220" s="14">
        <f t="shared" si="42"/>
        <v>0</v>
      </c>
      <c r="I220" s="14">
        <f t="shared" si="40"/>
        <v>0</v>
      </c>
      <c r="J220" s="14">
        <f>7010.8508232*E220*F220</f>
        <v>32810.781852576001</v>
      </c>
      <c r="K220" s="14">
        <f>1509.394941936*E220*F220</f>
        <v>7063.9683282604792</v>
      </c>
      <c r="L220" s="14">
        <f>1472.86782*E220*F220</f>
        <v>6893.0213975999995</v>
      </c>
      <c r="M220" s="14">
        <f t="shared" si="41"/>
        <v>81232.87856643647</v>
      </c>
      <c r="N220" s="18">
        <f>IF(N176&gt;0,(M220/$N$176/12),0)</f>
        <v>4.8352903908593134</v>
      </c>
    </row>
    <row r="221" spans="2:14">
      <c r="B221" s="9">
        <v>42</v>
      </c>
      <c r="C221" s="7" t="s">
        <v>107</v>
      </c>
      <c r="D221" s="7" t="s">
        <v>108</v>
      </c>
      <c r="E221" s="11">
        <v>1</v>
      </c>
      <c r="F221" s="11">
        <v>1</v>
      </c>
      <c r="G221" s="14">
        <f>18.02646*E221*F221</f>
        <v>18.02646</v>
      </c>
      <c r="H221" s="14">
        <f t="shared" si="42"/>
        <v>0</v>
      </c>
      <c r="I221" s="14">
        <f t="shared" si="40"/>
        <v>0</v>
      </c>
      <c r="J221" s="14">
        <f>17.16118992*E221*F221</f>
        <v>17.161189920000002</v>
      </c>
      <c r="K221" s="14">
        <f>3.6947032416*E221*F221</f>
        <v>3.6947032416000001</v>
      </c>
      <c r="L221" s="14">
        <f>3.605292*E221*F221</f>
        <v>3.6052919999999999</v>
      </c>
      <c r="M221" s="14">
        <f t="shared" si="41"/>
        <v>42.4876451616</v>
      </c>
      <c r="N221" s="18">
        <f>IF(N176&gt;0,(M221/$N$176/12),0)</f>
        <v>2.5290264977142858E-3</v>
      </c>
    </row>
    <row r="222" spans="2:14" ht="24">
      <c r="B222" s="9">
        <v>43</v>
      </c>
      <c r="C222" s="7" t="s">
        <v>109</v>
      </c>
      <c r="D222" s="7" t="s">
        <v>52</v>
      </c>
      <c r="E222" s="11">
        <v>9</v>
      </c>
      <c r="F222" s="11">
        <v>1</v>
      </c>
      <c r="G222" s="14">
        <f>477.171*E222*F222</f>
        <v>4294.5389999999998</v>
      </c>
      <c r="H222" s="14">
        <f t="shared" si="42"/>
        <v>0</v>
      </c>
      <c r="I222" s="14">
        <f t="shared" si="40"/>
        <v>0</v>
      </c>
      <c r="J222" s="14">
        <f>454.266792*E222*F222</f>
        <v>4088.401128</v>
      </c>
      <c r="K222" s="14">
        <f>97.80096816*E222*F222</f>
        <v>880.20871344</v>
      </c>
      <c r="L222" s="14">
        <f>95.4342*E222*F222</f>
        <v>858.90780000000007</v>
      </c>
      <c r="M222" s="14">
        <f t="shared" si="41"/>
        <v>10122.056641440002</v>
      </c>
      <c r="N222" s="18">
        <f>IF(N176&gt;0,(M222/$N$176/12),0)</f>
        <v>0.60250337151428579</v>
      </c>
    </row>
    <row r="223" spans="2:14">
      <c r="B223" s="9">
        <v>44</v>
      </c>
      <c r="C223" s="7" t="s">
        <v>53</v>
      </c>
      <c r="D223" s="7" t="s">
        <v>54</v>
      </c>
      <c r="E223" s="11">
        <v>9</v>
      </c>
      <c r="F223" s="11">
        <v>1</v>
      </c>
      <c r="G223" s="14">
        <f>212.076*E223*F223</f>
        <v>1908.684</v>
      </c>
      <c r="H223" s="14">
        <f t="shared" si="42"/>
        <v>0</v>
      </c>
      <c r="I223" s="14">
        <f t="shared" si="40"/>
        <v>0</v>
      </c>
      <c r="J223" s="14">
        <f>201.896352*E223*F223</f>
        <v>1817.067168</v>
      </c>
      <c r="K223" s="14">
        <f>43.46709696*E223*F223</f>
        <v>391.20387263999999</v>
      </c>
      <c r="L223" s="14">
        <f>42.4152*E223*F223</f>
        <v>381.73680000000002</v>
      </c>
      <c r="M223" s="14">
        <f t="shared" si="41"/>
        <v>4498.6918406399991</v>
      </c>
      <c r="N223" s="18">
        <f>IF(N176&gt;0,(M223/$N$176/12),0)</f>
        <v>0.26777927622857139</v>
      </c>
    </row>
    <row r="224" spans="2:14" ht="24">
      <c r="B224" s="9">
        <v>45</v>
      </c>
      <c r="C224" s="7" t="s">
        <v>110</v>
      </c>
      <c r="D224" s="7" t="s">
        <v>111</v>
      </c>
      <c r="E224" s="11">
        <v>0.6</v>
      </c>
      <c r="F224" s="11">
        <v>1</v>
      </c>
      <c r="G224" s="14">
        <f>243.8874*E224*F224</f>
        <v>146.33243999999999</v>
      </c>
      <c r="H224" s="14">
        <f t="shared" si="42"/>
        <v>0</v>
      </c>
      <c r="I224" s="14">
        <f t="shared" si="40"/>
        <v>0</v>
      </c>
      <c r="J224" s="14">
        <f>232.1808048*E224*F224</f>
        <v>139.30848287999999</v>
      </c>
      <c r="K224" s="14">
        <f>49.987161504*E224*F224</f>
        <v>29.9922969024</v>
      </c>
      <c r="L224" s="14">
        <f>48.77748*E224*F224</f>
        <v>29.266487999999995</v>
      </c>
      <c r="M224" s="14">
        <f t="shared" si="41"/>
        <v>344.8997077823999</v>
      </c>
      <c r="N224" s="18">
        <f>IF(N176&gt;0,(M224/$N$176/12),0)</f>
        <v>2.0529744510857137E-2</v>
      </c>
    </row>
    <row r="225" spans="2:14">
      <c r="B225" s="9">
        <v>46</v>
      </c>
      <c r="C225" s="7" t="s">
        <v>112</v>
      </c>
      <c r="D225" s="7" t="s">
        <v>111</v>
      </c>
      <c r="E225" s="11">
        <v>0.12</v>
      </c>
      <c r="F225" s="11">
        <v>1</v>
      </c>
      <c r="G225" s="14">
        <f>1060.38*E225*F225</f>
        <v>127.24560000000001</v>
      </c>
      <c r="H225" s="14">
        <f t="shared" si="42"/>
        <v>0</v>
      </c>
      <c r="I225" s="14">
        <f t="shared" si="40"/>
        <v>0</v>
      </c>
      <c r="J225" s="14">
        <f>1009.48176*E225*F225</f>
        <v>121.1378112</v>
      </c>
      <c r="K225" s="14">
        <f>217.3354848*E225*F225</f>
        <v>26.080258175999997</v>
      </c>
      <c r="L225" s="14">
        <f>212.076*E225*F225</f>
        <v>25.449119999999997</v>
      </c>
      <c r="M225" s="14">
        <f t="shared" si="41"/>
        <v>299.91278937599998</v>
      </c>
      <c r="N225" s="18">
        <f>IF(N176&gt;0,(M225/$N$176/12),0)</f>
        <v>1.7851951748571428E-2</v>
      </c>
    </row>
    <row r="226" spans="2:14">
      <c r="B226" s="9">
        <v>47</v>
      </c>
      <c r="C226" s="7" t="s">
        <v>113</v>
      </c>
      <c r="D226" s="7" t="s">
        <v>114</v>
      </c>
      <c r="E226" s="11">
        <v>0.12</v>
      </c>
      <c r="F226" s="11">
        <v>1</v>
      </c>
      <c r="G226" s="14">
        <f>429.4539*E226*F226</f>
        <v>51.534467999999997</v>
      </c>
      <c r="H226" s="14">
        <f>2.295565875*E226*F226</f>
        <v>0.27546790499999996</v>
      </c>
      <c r="I226" s="14">
        <f t="shared" si="40"/>
        <v>0</v>
      </c>
      <c r="J226" s="14">
        <f>408.8401128*E226*F226</f>
        <v>49.060813535999998</v>
      </c>
      <c r="K226" s="14">
        <f>88.261905760875*E226*F226</f>
        <v>10.591428691305</v>
      </c>
      <c r="L226" s="14">
        <f>85.89078*E226*F226</f>
        <v>10.3068936</v>
      </c>
      <c r="M226" s="14">
        <f t="shared" si="41"/>
        <v>121.76907173230498</v>
      </c>
      <c r="N226" s="18">
        <f>IF(N176&gt;0,(M226/$N$176/12),0)</f>
        <v>7.2481590316848194E-3</v>
      </c>
    </row>
    <row r="227" spans="2:14" ht="12.75">
      <c r="B227" s="56" t="s">
        <v>43</v>
      </c>
      <c r="C227" s="57"/>
      <c r="D227" s="57"/>
      <c r="E227" s="58"/>
      <c r="F227" s="58"/>
      <c r="G227" s="22">
        <f t="shared" ref="G227:N227" si="43">SUM(G214:G226)</f>
        <v>70530.94665791998</v>
      </c>
      <c r="H227" s="22">
        <f t="shared" si="43"/>
        <v>4064.2799702449993</v>
      </c>
      <c r="I227" s="22">
        <f t="shared" si="43"/>
        <v>0</v>
      </c>
      <c r="J227" s="22">
        <f t="shared" si="43"/>
        <v>67145.461218339828</v>
      </c>
      <c r="K227" s="22">
        <f t="shared" si="43"/>
        <v>14882.772223883003</v>
      </c>
      <c r="L227" s="22">
        <f t="shared" si="43"/>
        <v>14106.189331584001</v>
      </c>
      <c r="M227" s="22">
        <f t="shared" si="43"/>
        <v>170729.64940197184</v>
      </c>
      <c r="N227" s="18">
        <f t="shared" si="43"/>
        <v>10.162479131069754</v>
      </c>
    </row>
    <row r="228" spans="2:14" ht="27.95" customHeight="1">
      <c r="B228" s="59" t="s">
        <v>55</v>
      </c>
      <c r="C228" s="60"/>
      <c r="D228" s="60"/>
      <c r="E228" s="61"/>
      <c r="F228" s="61"/>
      <c r="G228" s="23">
        <f t="shared" ref="G228:N228" si="44">G212+G227</f>
        <v>159066.3704018796</v>
      </c>
      <c r="H228" s="23">
        <f t="shared" si="44"/>
        <v>10563.097900189819</v>
      </c>
      <c r="I228" s="23">
        <f t="shared" si="44"/>
        <v>0</v>
      </c>
      <c r="J228" s="23">
        <f t="shared" si="44"/>
        <v>151431.18462258938</v>
      </c>
      <c r="K228" s="23">
        <f t="shared" si="44"/>
        <v>33711.368557089212</v>
      </c>
      <c r="L228" s="23">
        <f t="shared" si="44"/>
        <v>31813.27408037593</v>
      </c>
      <c r="M228" s="23">
        <f t="shared" si="44"/>
        <v>386585.29556212405</v>
      </c>
      <c r="N228" s="24">
        <f t="shared" si="44"/>
        <v>23.011029497745476</v>
      </c>
    </row>
    <row r="229" spans="2:14" ht="24.95" customHeight="1">
      <c r="B229" s="66" t="s">
        <v>133</v>
      </c>
      <c r="C229" s="67"/>
      <c r="D229" s="67"/>
      <c r="E229" s="68"/>
      <c r="F229" s="68"/>
      <c r="G229" s="69"/>
      <c r="H229" s="69"/>
      <c r="I229" s="69"/>
      <c r="J229" s="69"/>
      <c r="K229" s="69"/>
      <c r="L229" s="70" t="s">
        <v>15</v>
      </c>
      <c r="M229" s="70"/>
      <c r="N229" s="26">
        <v>500</v>
      </c>
    </row>
    <row r="230" spans="2:14" ht="21.95" customHeight="1">
      <c r="B230" s="51" t="s">
        <v>16</v>
      </c>
      <c r="C230" s="52"/>
      <c r="D230" s="52"/>
      <c r="E230" s="53"/>
      <c r="F230" s="53"/>
      <c r="G230" s="54"/>
      <c r="H230" s="54"/>
      <c r="I230" s="54"/>
      <c r="J230" s="54"/>
      <c r="K230" s="54"/>
      <c r="L230" s="54"/>
      <c r="M230" s="54"/>
      <c r="N230" s="55"/>
    </row>
    <row r="231" spans="2:14" ht="24">
      <c r="B231" s="9">
        <v>1</v>
      </c>
      <c r="C231" s="7" t="s">
        <v>76</v>
      </c>
      <c r="D231" s="7" t="s">
        <v>77</v>
      </c>
      <c r="E231" s="11">
        <v>1</v>
      </c>
      <c r="F231" s="11">
        <v>1</v>
      </c>
      <c r="G231" s="14">
        <f>28.763692487846*E231*F231</f>
        <v>28.763692487846001</v>
      </c>
      <c r="H231" s="14">
        <f>328.50591278152*E231*F231</f>
        <v>328.50591278152001</v>
      </c>
      <c r="I231" s="14">
        <f t="shared" ref="I231:I258" si="45">0*E231*F231</f>
        <v>0</v>
      </c>
      <c r="J231" s="14">
        <f>27.383035248429*E231*F231</f>
        <v>27.383035248429</v>
      </c>
      <c r="K231" s="14">
        <f>40.388527254368*E231*F231</f>
        <v>40.388527254368</v>
      </c>
      <c r="L231" s="14">
        <f>5.7527384975692*E231*F231</f>
        <v>5.7527384975692</v>
      </c>
      <c r="M231" s="14">
        <f t="shared" ref="M231:M258" si="46">SUM(G231:L231)</f>
        <v>430.79390626973225</v>
      </c>
      <c r="N231" s="18">
        <f>IF(N229&gt;0,(M231/$N$229/12),0)</f>
        <v>7.1798984378288702E-2</v>
      </c>
    </row>
    <row r="232" spans="2:14">
      <c r="B232" s="9">
        <v>2</v>
      </c>
      <c r="C232" s="7" t="s">
        <v>78</v>
      </c>
      <c r="D232" s="7" t="s">
        <v>79</v>
      </c>
      <c r="E232" s="11">
        <v>0.1</v>
      </c>
      <c r="F232" s="11">
        <v>1</v>
      </c>
      <c r="G232" s="14">
        <f>4615.569045*E232*F232</f>
        <v>461.55690450000003</v>
      </c>
      <c r="H232" s="14">
        <f>13663.902655643*E232*F232</f>
        <v>1366.3902655643001</v>
      </c>
      <c r="I232" s="14">
        <f t="shared" si="45"/>
        <v>0</v>
      </c>
      <c r="J232" s="14">
        <f>4394.02173084*E232*F232</f>
        <v>439.40217308399997</v>
      </c>
      <c r="K232" s="14">
        <f>2380.7168103057*E232*F232</f>
        <v>238.07168103057003</v>
      </c>
      <c r="L232" s="14">
        <f>923.113809*E232*F232</f>
        <v>92.311380900000003</v>
      </c>
      <c r="M232" s="14">
        <f t="shared" si="46"/>
        <v>2597.7324050788702</v>
      </c>
      <c r="N232" s="18">
        <f>IF(N229&gt;0,(M232/$N$229/12),0)</f>
        <v>0.43295540084647838</v>
      </c>
    </row>
    <row r="233" spans="2:14" ht="24">
      <c r="B233" s="9">
        <v>3</v>
      </c>
      <c r="C233" s="7" t="s">
        <v>80</v>
      </c>
      <c r="D233" s="7" t="s">
        <v>18</v>
      </c>
      <c r="E233" s="11">
        <v>0.5</v>
      </c>
      <c r="F233" s="11">
        <v>1</v>
      </c>
      <c r="G233" s="14">
        <f>4871.173644*E233*F233</f>
        <v>2435.5868220000002</v>
      </c>
      <c r="H233" s="14">
        <f>2802.81742356*E233*F233</f>
        <v>1401.40871178</v>
      </c>
      <c r="I233" s="14">
        <f t="shared" si="45"/>
        <v>0</v>
      </c>
      <c r="J233" s="14">
        <f>4637.357309088*E233*F233</f>
        <v>2318.678654544</v>
      </c>
      <c r="K233" s="14">
        <f>1292.691579548*E233*F233</f>
        <v>646.34578977399997</v>
      </c>
      <c r="L233" s="14">
        <f>974.2347288*E233*F233</f>
        <v>487.11736439999999</v>
      </c>
      <c r="M233" s="14">
        <f t="shared" si="46"/>
        <v>7289.1373424980002</v>
      </c>
      <c r="N233" s="18">
        <f>IF(N229&gt;0,(M233/$N$229/12),0)</f>
        <v>1.2148562237496667</v>
      </c>
    </row>
    <row r="234" spans="2:14" ht="24">
      <c r="B234" s="9">
        <v>4</v>
      </c>
      <c r="C234" s="7" t="s">
        <v>17</v>
      </c>
      <c r="D234" s="7" t="s">
        <v>18</v>
      </c>
      <c r="E234" s="11">
        <v>0.5</v>
      </c>
      <c r="F234" s="11">
        <v>1</v>
      </c>
      <c r="G234" s="14">
        <f>81.7446942*E234*F234</f>
        <v>40.872347099999999</v>
      </c>
      <c r="H234" s="14">
        <f t="shared" ref="H234:H242" si="47">0*E234*F234</f>
        <v>0</v>
      </c>
      <c r="I234" s="14">
        <f t="shared" si="45"/>
        <v>0</v>
      </c>
      <c r="J234" s="14">
        <f>77.8209488784*E234*F234</f>
        <v>38.910474439200001</v>
      </c>
      <c r="K234" s="14">
        <f>16.754392523232*E234*F234</f>
        <v>8.3771962616159996</v>
      </c>
      <c r="L234" s="14">
        <f>16.34893884*E234*F234</f>
        <v>8.1744694199999994</v>
      </c>
      <c r="M234" s="14">
        <f t="shared" si="46"/>
        <v>96.334487220816001</v>
      </c>
      <c r="N234" s="18">
        <f>IF(N229&gt;0,(M234/$N$229/12),0)</f>
        <v>1.6055747870136E-2</v>
      </c>
    </row>
    <row r="235" spans="2:14" ht="24">
      <c r="B235" s="9">
        <v>5</v>
      </c>
      <c r="C235" s="7" t="s">
        <v>57</v>
      </c>
      <c r="D235" s="7" t="s">
        <v>18</v>
      </c>
      <c r="E235" s="11">
        <v>0.5</v>
      </c>
      <c r="F235" s="11">
        <v>1</v>
      </c>
      <c r="G235" s="14">
        <f>651.8615358*E235*F235</f>
        <v>325.93076789999998</v>
      </c>
      <c r="H235" s="14">
        <f t="shared" si="47"/>
        <v>0</v>
      </c>
      <c r="I235" s="14">
        <f t="shared" si="45"/>
        <v>0</v>
      </c>
      <c r="J235" s="14">
        <f>620.5721820816*E235*F235</f>
        <v>310.28609104079999</v>
      </c>
      <c r="K235" s="14">
        <f>133.60554037757*E235*F235</f>
        <v>66.802770188785004</v>
      </c>
      <c r="L235" s="14">
        <f>130.37230716*E235*F235</f>
        <v>65.186153579999996</v>
      </c>
      <c r="M235" s="14">
        <f t="shared" si="46"/>
        <v>768.20578270958492</v>
      </c>
      <c r="N235" s="18">
        <f>IF(N229&gt;0,(M235/$N$229/12),0)</f>
        <v>0.12803429711826417</v>
      </c>
    </row>
    <row r="236" spans="2:14">
      <c r="B236" s="9">
        <v>6</v>
      </c>
      <c r="C236" s="7" t="s">
        <v>81</v>
      </c>
      <c r="D236" s="7" t="s">
        <v>22</v>
      </c>
      <c r="E236" s="11">
        <v>0.7</v>
      </c>
      <c r="F236" s="11">
        <v>1</v>
      </c>
      <c r="G236" s="14">
        <f>323.9566938*E236*F236</f>
        <v>226.76968565999996</v>
      </c>
      <c r="H236" s="14">
        <f t="shared" si="47"/>
        <v>0</v>
      </c>
      <c r="I236" s="14">
        <f t="shared" si="45"/>
        <v>0</v>
      </c>
      <c r="J236" s="14">
        <f>308.4067724976*E236*F236</f>
        <v>215.88474074831998</v>
      </c>
      <c r="K236" s="14">
        <f>66.398163961248*E236*F236</f>
        <v>46.478714772873602</v>
      </c>
      <c r="L236" s="14">
        <f>64.79133876*E236*F236</f>
        <v>45.353937131999999</v>
      </c>
      <c r="M236" s="14">
        <f t="shared" si="46"/>
        <v>534.48707831319359</v>
      </c>
      <c r="N236" s="18">
        <f>IF(N229&gt;0,(M236/$N$229/12),0)</f>
        <v>8.9081179718865602E-2</v>
      </c>
    </row>
    <row r="237" spans="2:14">
      <c r="B237" s="9">
        <v>7</v>
      </c>
      <c r="C237" s="7" t="s">
        <v>82</v>
      </c>
      <c r="D237" s="7" t="s">
        <v>22</v>
      </c>
      <c r="E237" s="11">
        <v>0.7</v>
      </c>
      <c r="F237" s="11">
        <v>1</v>
      </c>
      <c r="G237" s="14">
        <f>264.8405088*E237*F237</f>
        <v>185.38835616</v>
      </c>
      <c r="H237" s="14">
        <f t="shared" si="47"/>
        <v>0</v>
      </c>
      <c r="I237" s="14">
        <f t="shared" si="45"/>
        <v>0</v>
      </c>
      <c r="J237" s="14">
        <f>252.1281643776*E237*F237</f>
        <v>176.48971506432</v>
      </c>
      <c r="K237" s="14">
        <f>54.281710683648*E237*F237</f>
        <v>37.997197478553595</v>
      </c>
      <c r="L237" s="14">
        <f>52.96810176*E237*F237</f>
        <v>37.077671232</v>
      </c>
      <c r="M237" s="14">
        <f t="shared" si="46"/>
        <v>436.9529399348736</v>
      </c>
      <c r="N237" s="18">
        <f>IF(N229&gt;0,(M237/$N$229/12),0)</f>
        <v>7.2825489989145606E-2</v>
      </c>
    </row>
    <row r="238" spans="2:14" ht="24">
      <c r="B238" s="9">
        <v>8</v>
      </c>
      <c r="C238" s="7" t="s">
        <v>23</v>
      </c>
      <c r="D238" s="7" t="s">
        <v>18</v>
      </c>
      <c r="E238" s="11">
        <v>0.5</v>
      </c>
      <c r="F238" s="11">
        <v>1</v>
      </c>
      <c r="G238" s="14">
        <f>945.85896*E238*F238</f>
        <v>472.92948000000001</v>
      </c>
      <c r="H238" s="14">
        <f t="shared" si="47"/>
        <v>0</v>
      </c>
      <c r="I238" s="14">
        <f t="shared" si="45"/>
        <v>0</v>
      </c>
      <c r="J238" s="14">
        <f>900.45772992*E238*F238</f>
        <v>450.22886496000001</v>
      </c>
      <c r="K238" s="14">
        <f>193.8632524416*E238*F238</f>
        <v>96.931626220799998</v>
      </c>
      <c r="L238" s="14">
        <f>189.171792*E238*F238</f>
        <v>94.585896000000005</v>
      </c>
      <c r="M238" s="14">
        <f t="shared" si="46"/>
        <v>1114.6758671808</v>
      </c>
      <c r="N238" s="18">
        <f>IF(N229&gt;0,(M238/$N$229/12),0)</f>
        <v>0.1857793111968</v>
      </c>
    </row>
    <row r="239" spans="2:14" ht="24">
      <c r="B239" s="9">
        <v>9</v>
      </c>
      <c r="C239" s="7" t="s">
        <v>24</v>
      </c>
      <c r="D239" s="7" t="s">
        <v>18</v>
      </c>
      <c r="E239" s="11">
        <v>0.5</v>
      </c>
      <c r="F239" s="11">
        <v>1</v>
      </c>
      <c r="G239" s="14">
        <f>709.39422*E239*F239</f>
        <v>354.69711000000001</v>
      </c>
      <c r="H239" s="14">
        <f t="shared" si="47"/>
        <v>0</v>
      </c>
      <c r="I239" s="14">
        <f t="shared" si="45"/>
        <v>0</v>
      </c>
      <c r="J239" s="14">
        <f>675.34329744*E239*F239</f>
        <v>337.67164872000001</v>
      </c>
      <c r="K239" s="14">
        <f>145.3974393312*E239*F239</f>
        <v>72.698719665599995</v>
      </c>
      <c r="L239" s="14">
        <f>141.878844*E239*F239</f>
        <v>70.939421999999993</v>
      </c>
      <c r="M239" s="14">
        <f t="shared" si="46"/>
        <v>836.00690038560003</v>
      </c>
      <c r="N239" s="18">
        <f>IF(N229&gt;0,(M239/$N$229/12),0)</f>
        <v>0.13933448339759999</v>
      </c>
    </row>
    <row r="240" spans="2:14">
      <c r="B240" s="9">
        <v>10</v>
      </c>
      <c r="C240" s="7" t="s">
        <v>83</v>
      </c>
      <c r="D240" s="7" t="s">
        <v>26</v>
      </c>
      <c r="E240" s="11">
        <v>0.35</v>
      </c>
      <c r="F240" s="11">
        <v>1</v>
      </c>
      <c r="G240" s="14">
        <f>662.101272*E240*F240</f>
        <v>231.73544519999999</v>
      </c>
      <c r="H240" s="14">
        <f t="shared" si="47"/>
        <v>0</v>
      </c>
      <c r="I240" s="14">
        <f t="shared" si="45"/>
        <v>0</v>
      </c>
      <c r="J240" s="14">
        <f>630.320410944*E240*F240</f>
        <v>220.61214383039996</v>
      </c>
      <c r="K240" s="14">
        <f>135.70427670912*E240*F240</f>
        <v>47.496496848191995</v>
      </c>
      <c r="L240" s="14">
        <f>132.4202544*E240*F240</f>
        <v>46.34708904</v>
      </c>
      <c r="M240" s="14">
        <f t="shared" si="46"/>
        <v>546.19117491859197</v>
      </c>
      <c r="N240" s="18">
        <f>IF(N229&gt;0,(M240/$N$229/12),0)</f>
        <v>9.1031862486431983E-2</v>
      </c>
    </row>
    <row r="241" spans="2:14" ht="24">
      <c r="B241" s="9">
        <v>11</v>
      </c>
      <c r="C241" s="7" t="s">
        <v>84</v>
      </c>
      <c r="D241" s="7" t="s">
        <v>85</v>
      </c>
      <c r="E241" s="11">
        <v>0.12</v>
      </c>
      <c r="F241" s="11">
        <v>1</v>
      </c>
      <c r="G241" s="14">
        <f>14187.8844*E241*F241</f>
        <v>1702.546128</v>
      </c>
      <c r="H241" s="14">
        <f t="shared" si="47"/>
        <v>0</v>
      </c>
      <c r="I241" s="14">
        <f t="shared" si="45"/>
        <v>0</v>
      </c>
      <c r="J241" s="14">
        <f>13506.8659488*E241*F241</f>
        <v>1620.8239138559998</v>
      </c>
      <c r="K241" s="14">
        <f>2907.948786624*E241*F241</f>
        <v>348.95385439488001</v>
      </c>
      <c r="L241" s="14">
        <f>2837.57688*E241*F241</f>
        <v>340.50922559999998</v>
      </c>
      <c r="M241" s="14">
        <f t="shared" si="46"/>
        <v>4012.8331218508797</v>
      </c>
      <c r="N241" s="18">
        <f>IF(N229&gt;0,(M241/$N$229/12),0)</f>
        <v>0.66880552030848006</v>
      </c>
    </row>
    <row r="242" spans="2:14">
      <c r="B242" s="9">
        <v>12</v>
      </c>
      <c r="C242" s="7" t="s">
        <v>86</v>
      </c>
      <c r="D242" s="7" t="s">
        <v>87</v>
      </c>
      <c r="E242" s="11">
        <v>10</v>
      </c>
      <c r="F242" s="11">
        <v>1</v>
      </c>
      <c r="G242" s="14">
        <f>205.7243238*E242*F242</f>
        <v>2057.243238</v>
      </c>
      <c r="H242" s="14">
        <f t="shared" si="47"/>
        <v>0</v>
      </c>
      <c r="I242" s="14">
        <f t="shared" si="45"/>
        <v>0</v>
      </c>
      <c r="J242" s="14">
        <f>195.8495562576*E242*F242</f>
        <v>1958.4955625759999</v>
      </c>
      <c r="K242" s="14">
        <f>42.165257406048*E242*F242</f>
        <v>421.65257406047999</v>
      </c>
      <c r="L242" s="14">
        <f>41.14486476*E242*F242</f>
        <v>411.44864759999996</v>
      </c>
      <c r="M242" s="14">
        <f t="shared" si="46"/>
        <v>4848.8400222364799</v>
      </c>
      <c r="N242" s="18">
        <f>IF(N229&gt;0,(M242/$N$229/12),0)</f>
        <v>0.80814000370608008</v>
      </c>
    </row>
    <row r="243" spans="2:14" ht="36">
      <c r="B243" s="9">
        <v>13</v>
      </c>
      <c r="C243" s="7" t="s">
        <v>88</v>
      </c>
      <c r="D243" s="7" t="s">
        <v>89</v>
      </c>
      <c r="E243" s="11">
        <v>0.1</v>
      </c>
      <c r="F243" s="11">
        <v>1</v>
      </c>
      <c r="G243" s="14">
        <f>7425.045855*E243*F243</f>
        <v>742.50458550000008</v>
      </c>
      <c r="H243" s="14">
        <f>594.4391865*E243*F243</f>
        <v>59.443918650000001</v>
      </c>
      <c r="I243" s="14">
        <f t="shared" si="45"/>
        <v>0</v>
      </c>
      <c r="J243" s="14">
        <f>7068.64365396*E243*F243</f>
        <v>706.86436539600004</v>
      </c>
      <c r="K243" s="14">
        <f>1584.2535130233*E243*F243</f>
        <v>158.42535130233</v>
      </c>
      <c r="L243" s="14">
        <f>1485.009171*E243*F243</f>
        <v>148.50091710000001</v>
      </c>
      <c r="M243" s="14">
        <f t="shared" si="46"/>
        <v>1815.7391379483299</v>
      </c>
      <c r="N243" s="18">
        <f>IF(N229&gt;0,(M243/$N$229/12),0)</f>
        <v>0.30262318965805496</v>
      </c>
    </row>
    <row r="244" spans="2:14" ht="24">
      <c r="B244" s="9">
        <v>14</v>
      </c>
      <c r="C244" s="7" t="s">
        <v>90</v>
      </c>
      <c r="D244" s="7" t="s">
        <v>18</v>
      </c>
      <c r="E244" s="11">
        <v>0.5</v>
      </c>
      <c r="F244" s="11">
        <v>1</v>
      </c>
      <c r="G244" s="14">
        <f>880.327476*E244*F244</f>
        <v>440.16373800000002</v>
      </c>
      <c r="H244" s="14">
        <f>0*E244*F244</f>
        <v>0</v>
      </c>
      <c r="I244" s="14">
        <f t="shared" si="45"/>
        <v>0</v>
      </c>
      <c r="J244" s="14">
        <f>838.071757152*E244*F244</f>
        <v>419.03587857600002</v>
      </c>
      <c r="K244" s="14">
        <f>180.43191948096*E244*F244</f>
        <v>90.215959740480002</v>
      </c>
      <c r="L244" s="14">
        <f>176.0654952*E244*F244</f>
        <v>88.032747599999993</v>
      </c>
      <c r="M244" s="14">
        <f t="shared" si="46"/>
        <v>1037.4483239164801</v>
      </c>
      <c r="N244" s="18">
        <f>IF(N229&gt;0,(M244/$N$229/12),0)</f>
        <v>0.17290805398608003</v>
      </c>
    </row>
    <row r="245" spans="2:14" ht="24">
      <c r="B245" s="9">
        <v>15</v>
      </c>
      <c r="C245" s="7" t="s">
        <v>91</v>
      </c>
      <c r="D245" s="7" t="s">
        <v>18</v>
      </c>
      <c r="E245" s="11">
        <v>0.5</v>
      </c>
      <c r="F245" s="11">
        <v>1</v>
      </c>
      <c r="G245" s="14">
        <f>880.327476*E245*F245</f>
        <v>440.16373800000002</v>
      </c>
      <c r="H245" s="14">
        <f>0*E245*F245</f>
        <v>0</v>
      </c>
      <c r="I245" s="14">
        <f t="shared" si="45"/>
        <v>0</v>
      </c>
      <c r="J245" s="14">
        <f>838.071757152*E245*F245</f>
        <v>419.03587857600002</v>
      </c>
      <c r="K245" s="14">
        <f>180.43191948096*E245*F245</f>
        <v>90.215959740480002</v>
      </c>
      <c r="L245" s="14">
        <f>176.0654952*E245*F245</f>
        <v>88.032747599999993</v>
      </c>
      <c r="M245" s="14">
        <f t="shared" si="46"/>
        <v>1037.4483239164801</v>
      </c>
      <c r="N245" s="18">
        <f>IF(N229&gt;0,(M245/$N$229/12),0)</f>
        <v>0.17290805398608003</v>
      </c>
    </row>
    <row r="246" spans="2:14" ht="24">
      <c r="B246" s="9">
        <v>16</v>
      </c>
      <c r="C246" s="7" t="s">
        <v>92</v>
      </c>
      <c r="D246" s="7" t="s">
        <v>18</v>
      </c>
      <c r="E246" s="11">
        <v>0.5</v>
      </c>
      <c r="F246" s="11">
        <v>1</v>
      </c>
      <c r="G246" s="14">
        <f>880.327476*E246*F246</f>
        <v>440.16373800000002</v>
      </c>
      <c r="H246" s="14">
        <f>0*E246*F246</f>
        <v>0</v>
      </c>
      <c r="I246" s="14">
        <f t="shared" si="45"/>
        <v>0</v>
      </c>
      <c r="J246" s="14">
        <f>838.071757152*E246*F246</f>
        <v>419.03587857600002</v>
      </c>
      <c r="K246" s="14">
        <f>180.43191948096*E246*F246</f>
        <v>90.215959740480002</v>
      </c>
      <c r="L246" s="14">
        <f>176.0654952*E246*F246</f>
        <v>88.032747599999993</v>
      </c>
      <c r="M246" s="14">
        <f t="shared" si="46"/>
        <v>1037.4483239164801</v>
      </c>
      <c r="N246" s="18">
        <f>IF(N229&gt;0,(M246/$N$229/12),0)</f>
        <v>0.17290805398608003</v>
      </c>
    </row>
    <row r="247" spans="2:14" ht="24">
      <c r="B247" s="9">
        <v>17</v>
      </c>
      <c r="C247" s="7" t="s">
        <v>27</v>
      </c>
      <c r="D247" s="7" t="s">
        <v>28</v>
      </c>
      <c r="E247" s="11">
        <v>0.01</v>
      </c>
      <c r="F247" s="11">
        <v>1</v>
      </c>
      <c r="G247" s="14">
        <f>2128.18266*E247*F247</f>
        <v>21.281826599999999</v>
      </c>
      <c r="H247" s="14">
        <f>0*E247*F247</f>
        <v>0</v>
      </c>
      <c r="I247" s="14">
        <f t="shared" si="45"/>
        <v>0</v>
      </c>
      <c r="J247" s="14">
        <f>2026.02989232*E247*F247</f>
        <v>20.260298923200001</v>
      </c>
      <c r="K247" s="14">
        <f>436.1923179936*E247*F247</f>
        <v>4.3619231799360003</v>
      </c>
      <c r="L247" s="14">
        <f>425.636532*E247*F247</f>
        <v>4.2563653199999996</v>
      </c>
      <c r="M247" s="14">
        <f t="shared" si="46"/>
        <v>50.160414023135999</v>
      </c>
      <c r="N247" s="18">
        <f>IF(N229&gt;0,(M247/$N$229/12),0)</f>
        <v>8.3600690038560001E-3</v>
      </c>
    </row>
    <row r="248" spans="2:14">
      <c r="B248" s="9">
        <v>18</v>
      </c>
      <c r="C248" s="7" t="s">
        <v>29</v>
      </c>
      <c r="D248" s="7" t="s">
        <v>30</v>
      </c>
      <c r="E248" s="11">
        <v>1</v>
      </c>
      <c r="F248" s="11">
        <v>1</v>
      </c>
      <c r="G248" s="14">
        <f>1048.0089*E248*F248</f>
        <v>1048.0089</v>
      </c>
      <c r="H248" s="14">
        <f>463.37184*E248*F248</f>
        <v>463.37184000000002</v>
      </c>
      <c r="I248" s="14">
        <f t="shared" si="45"/>
        <v>0</v>
      </c>
      <c r="J248" s="14">
        <f>997.7044728*E248*F248</f>
        <v>997.70447279999996</v>
      </c>
      <c r="K248" s="14">
        <f>263.453947344*E248*F248</f>
        <v>263.45394734400003</v>
      </c>
      <c r="L248" s="14">
        <f>209.60178*E248*F248</f>
        <v>209.60177999999999</v>
      </c>
      <c r="M248" s="14">
        <f t="shared" si="46"/>
        <v>2982.1409401440001</v>
      </c>
      <c r="N248" s="18">
        <f>IF(N229&gt;0,(M248/$N$229/12),0)</f>
        <v>0.49702349002400004</v>
      </c>
    </row>
    <row r="249" spans="2:14">
      <c r="B249" s="9">
        <v>19</v>
      </c>
      <c r="C249" s="7" t="s">
        <v>31</v>
      </c>
      <c r="D249" s="7" t="s">
        <v>30</v>
      </c>
      <c r="E249" s="11">
        <v>1</v>
      </c>
      <c r="F249" s="11">
        <v>1</v>
      </c>
      <c r="G249" s="14">
        <f>419.20356*E249*F249</f>
        <v>419.20355999999998</v>
      </c>
      <c r="H249" s="14">
        <f>0*E249*F249</f>
        <v>0</v>
      </c>
      <c r="I249" s="14">
        <f t="shared" si="45"/>
        <v>0</v>
      </c>
      <c r="J249" s="14">
        <f>399.08178912*E249*F249</f>
        <v>399.08178912</v>
      </c>
      <c r="K249" s="14">
        <f>85.9199616576*E249*F249</f>
        <v>85.919961657599998</v>
      </c>
      <c r="L249" s="14">
        <f>83.840712*E249*F249</f>
        <v>83.840711999999996</v>
      </c>
      <c r="M249" s="14">
        <f t="shared" si="46"/>
        <v>988.0460227776</v>
      </c>
      <c r="N249" s="18">
        <f>IF(N229&gt;0,(M249/$N$229/12),0)</f>
        <v>0.1646743371296</v>
      </c>
    </row>
    <row r="250" spans="2:14">
      <c r="B250" s="9">
        <v>20</v>
      </c>
      <c r="C250" s="7" t="s">
        <v>32</v>
      </c>
      <c r="D250" s="7" t="s">
        <v>33</v>
      </c>
      <c r="E250" s="11">
        <v>1</v>
      </c>
      <c r="F250" s="11">
        <v>1</v>
      </c>
      <c r="G250" s="14">
        <f>59.904400011784*E250*F250</f>
        <v>59.904400011783999</v>
      </c>
      <c r="H250" s="14">
        <f>0*E250*F250</f>
        <v>0</v>
      </c>
      <c r="I250" s="14">
        <f t="shared" si="45"/>
        <v>0</v>
      </c>
      <c r="J250" s="14">
        <f>57.028988811219*E250*F250</f>
        <v>57.028988811219001</v>
      </c>
      <c r="K250" s="14">
        <f>12.278005826415*E250*F250</f>
        <v>12.278005826415001</v>
      </c>
      <c r="L250" s="14">
        <f>11.980880002357*E250*F250</f>
        <v>11.980880002357001</v>
      </c>
      <c r="M250" s="14">
        <f t="shared" si="46"/>
        <v>141.19227465177499</v>
      </c>
      <c r="N250" s="18">
        <f>IF(N229&gt;0,(M250/$N$229/12),0)</f>
        <v>2.3532045775295832E-2</v>
      </c>
    </row>
    <row r="251" spans="2:14" ht="24">
      <c r="B251" s="9">
        <v>21</v>
      </c>
      <c r="C251" s="7" t="s">
        <v>34</v>
      </c>
      <c r="D251" s="7" t="s">
        <v>18</v>
      </c>
      <c r="E251" s="11">
        <v>0.5</v>
      </c>
      <c r="F251" s="11">
        <v>1</v>
      </c>
      <c r="G251" s="14">
        <f>2364.6474*E251*F251</f>
        <v>1182.3236999999999</v>
      </c>
      <c r="H251" s="14">
        <f>0*E251*F251</f>
        <v>0</v>
      </c>
      <c r="I251" s="14">
        <f t="shared" si="45"/>
        <v>0</v>
      </c>
      <c r="J251" s="14">
        <f>2251.1443248*E251*F251</f>
        <v>1125.5721624</v>
      </c>
      <c r="K251" s="14">
        <f>484.658131104*E251*F251</f>
        <v>242.329065552</v>
      </c>
      <c r="L251" s="14">
        <f>472.92948*E251*F251</f>
        <v>236.46474000000001</v>
      </c>
      <c r="M251" s="14">
        <f t="shared" si="46"/>
        <v>2786.6896679519996</v>
      </c>
      <c r="N251" s="18">
        <f>IF(N229&gt;0,(M251/$N$229/12),0)</f>
        <v>0.46444827799199989</v>
      </c>
    </row>
    <row r="252" spans="2:14" ht="36">
      <c r="B252" s="9">
        <v>22</v>
      </c>
      <c r="C252" s="7" t="s">
        <v>93</v>
      </c>
      <c r="D252" s="7" t="s">
        <v>94</v>
      </c>
      <c r="E252" s="11">
        <v>0.5</v>
      </c>
      <c r="F252" s="11">
        <v>1</v>
      </c>
      <c r="G252" s="14">
        <f>945.85896*E252*F252</f>
        <v>472.92948000000001</v>
      </c>
      <c r="H252" s="14">
        <f>0*E252*F252</f>
        <v>0</v>
      </c>
      <c r="I252" s="14">
        <f t="shared" si="45"/>
        <v>0</v>
      </c>
      <c r="J252" s="14">
        <f>900.45772992*E252*F252</f>
        <v>450.22886496000001</v>
      </c>
      <c r="K252" s="14">
        <f>193.8632524416*E252*F252</f>
        <v>96.931626220799998</v>
      </c>
      <c r="L252" s="14">
        <f>189.171792*E252*F252</f>
        <v>94.585896000000005</v>
      </c>
      <c r="M252" s="14">
        <f t="shared" si="46"/>
        <v>1114.6758671808</v>
      </c>
      <c r="N252" s="18">
        <f>IF(N229&gt;0,(M252/$N$229/12),0)</f>
        <v>0.1857793111968</v>
      </c>
    </row>
    <row r="253" spans="2:14" ht="24">
      <c r="B253" s="9">
        <v>23</v>
      </c>
      <c r="C253" s="7" t="s">
        <v>95</v>
      </c>
      <c r="D253" s="7" t="s">
        <v>96</v>
      </c>
      <c r="E253" s="11">
        <v>1</v>
      </c>
      <c r="F253" s="11">
        <v>1</v>
      </c>
      <c r="G253" s="14">
        <f>823.6943475*E253*F253</f>
        <v>823.69434750000005</v>
      </c>
      <c r="H253" s="14">
        <f>7.100526745*E253*F253</f>
        <v>7.1005267449999998</v>
      </c>
      <c r="I253" s="14">
        <f t="shared" si="45"/>
        <v>0</v>
      </c>
      <c r="J253" s="14">
        <f>784.15701882*E253*F253</f>
        <v>784.15701881999996</v>
      </c>
      <c r="K253" s="14">
        <f>169.56994877182*E253*F253</f>
        <v>169.56994877182001</v>
      </c>
      <c r="L253" s="14">
        <f>164.7388695*E253*F253</f>
        <v>164.73886949999999</v>
      </c>
      <c r="M253" s="14">
        <f t="shared" si="46"/>
        <v>1949.2607113368201</v>
      </c>
      <c r="N253" s="18">
        <f>IF(N229&gt;0,(M253/$N$229/12),0)</f>
        <v>0.32487678522280333</v>
      </c>
    </row>
    <row r="254" spans="2:14" ht="24">
      <c r="B254" s="9">
        <v>24</v>
      </c>
      <c r="C254" s="7" t="s">
        <v>97</v>
      </c>
      <c r="D254" s="7" t="s">
        <v>96</v>
      </c>
      <c r="E254" s="11">
        <v>1</v>
      </c>
      <c r="F254" s="11">
        <v>1</v>
      </c>
      <c r="G254" s="14">
        <f>25.1522136*E254*F254</f>
        <v>25.1522136</v>
      </c>
      <c r="H254" s="14">
        <f>0*E254*F254</f>
        <v>0</v>
      </c>
      <c r="I254" s="14">
        <f t="shared" si="45"/>
        <v>0</v>
      </c>
      <c r="J254" s="14">
        <f>23.9449073472*E254*F254</f>
        <v>23.944907347200001</v>
      </c>
      <c r="K254" s="14">
        <f>5.155197699456*E254*F254</f>
        <v>5.155197699456</v>
      </c>
      <c r="L254" s="14">
        <f>5.03044272*E254*F254</f>
        <v>5.0304427199999999</v>
      </c>
      <c r="M254" s="14">
        <f t="shared" si="46"/>
        <v>59.28276136665599</v>
      </c>
      <c r="N254" s="18">
        <f>IF(N229&gt;0,(M254/$N$229/12),0)</f>
        <v>9.8804602277759983E-3</v>
      </c>
    </row>
    <row r="255" spans="2:14" ht="24">
      <c r="B255" s="9">
        <v>25</v>
      </c>
      <c r="C255" s="7" t="s">
        <v>37</v>
      </c>
      <c r="D255" s="7" t="s">
        <v>38</v>
      </c>
      <c r="E255" s="11">
        <v>36</v>
      </c>
      <c r="F255" s="11">
        <v>1</v>
      </c>
      <c r="G255" s="14">
        <f>194.0389362*E255*F255</f>
        <v>6985.4017032000002</v>
      </c>
      <c r="H255" s="14">
        <f>0*E255*F255</f>
        <v>0</v>
      </c>
      <c r="I255" s="14">
        <f t="shared" si="45"/>
        <v>0</v>
      </c>
      <c r="J255" s="14">
        <f>184.7250672624*E255*F255</f>
        <v>6650.1024214463996</v>
      </c>
      <c r="K255" s="14">
        <f>39.770220363552*E255*F255</f>
        <v>1431.7279330878719</v>
      </c>
      <c r="L255" s="14">
        <f>38.80778724*E255*F255</f>
        <v>1397.08034064</v>
      </c>
      <c r="M255" s="14">
        <f t="shared" si="46"/>
        <v>16464.31239837427</v>
      </c>
      <c r="N255" s="18">
        <f>IF(N229&gt;0,(M255/$N$229/12),0)</f>
        <v>2.7440520663957115</v>
      </c>
    </row>
    <row r="256" spans="2:14" ht="24">
      <c r="B256" s="9">
        <v>26</v>
      </c>
      <c r="C256" s="7" t="s">
        <v>98</v>
      </c>
      <c r="D256" s="7" t="s">
        <v>99</v>
      </c>
      <c r="E256" s="11">
        <v>0.02</v>
      </c>
      <c r="F256" s="11">
        <v>1</v>
      </c>
      <c r="G256" s="14">
        <f>11737.69968*E256*F256</f>
        <v>234.7539936</v>
      </c>
      <c r="H256" s="14">
        <f>0*E256*F256</f>
        <v>0</v>
      </c>
      <c r="I256" s="14">
        <f t="shared" si="45"/>
        <v>0</v>
      </c>
      <c r="J256" s="14">
        <f>11174.29009536*E256*F256</f>
        <v>223.4858019072</v>
      </c>
      <c r="K256" s="14">
        <f>2405.7589264128*E256*F256</f>
        <v>48.115178528256003</v>
      </c>
      <c r="L256" s="14">
        <f>2347.539936*E256*F256</f>
        <v>46.950798720000002</v>
      </c>
      <c r="M256" s="14">
        <f t="shared" si="46"/>
        <v>553.30577275545602</v>
      </c>
      <c r="N256" s="18">
        <f>IF(N229&gt;0,(M256/$N$229/12),0)</f>
        <v>9.2217628792576001E-2</v>
      </c>
    </row>
    <row r="257" spans="2:14" ht="24">
      <c r="B257" s="9">
        <v>27</v>
      </c>
      <c r="C257" s="7" t="s">
        <v>39</v>
      </c>
      <c r="D257" s="7" t="s">
        <v>40</v>
      </c>
      <c r="E257" s="11">
        <v>0.36</v>
      </c>
      <c r="F257" s="11">
        <v>1</v>
      </c>
      <c r="G257" s="14">
        <f>3982.43382*E257*F257</f>
        <v>1433.6761752</v>
      </c>
      <c r="H257" s="14">
        <f>0*E257*F257</f>
        <v>0</v>
      </c>
      <c r="I257" s="14">
        <f t="shared" si="45"/>
        <v>0</v>
      </c>
      <c r="J257" s="14">
        <f>3791.27699664*E257*F257</f>
        <v>1364.8597187903999</v>
      </c>
      <c r="K257" s="14">
        <f>816.2396357472*E257*F257</f>
        <v>293.84626886899201</v>
      </c>
      <c r="L257" s="14">
        <f>796.486764*E257*F257</f>
        <v>286.73523503999996</v>
      </c>
      <c r="M257" s="14">
        <f t="shared" si="46"/>
        <v>3379.117397899392</v>
      </c>
      <c r="N257" s="18">
        <f>IF(N229&gt;0,(M257/$N$229/12),0)</f>
        <v>0.563186232983232</v>
      </c>
    </row>
    <row r="258" spans="2:14" ht="84">
      <c r="B258" s="9">
        <v>28</v>
      </c>
      <c r="C258" s="7" t="s">
        <v>41</v>
      </c>
      <c r="D258" s="7" t="s">
        <v>60</v>
      </c>
      <c r="E258" s="11">
        <v>0.5</v>
      </c>
      <c r="F258" s="11">
        <v>3</v>
      </c>
      <c r="G258" s="14">
        <f>2608.7680836*E258*F258</f>
        <v>3913.1521253999999</v>
      </c>
      <c r="H258" s="14">
        <f>0*E258*F258</f>
        <v>0</v>
      </c>
      <c r="I258" s="14">
        <f t="shared" si="45"/>
        <v>0</v>
      </c>
      <c r="J258" s="14">
        <f>2483.5472155872*E258*F258</f>
        <v>3725.3208233808</v>
      </c>
      <c r="K258" s="14">
        <f>534.69310641466*E258*F258</f>
        <v>802.03965962198993</v>
      </c>
      <c r="L258" s="14">
        <f>521.75361672*E258*F258</f>
        <v>782.6304250799999</v>
      </c>
      <c r="M258" s="14">
        <f t="shared" si="46"/>
        <v>9223.143033482791</v>
      </c>
      <c r="N258" s="18">
        <f>IF(N229&gt;0,(M258/$N$229/12),0)</f>
        <v>1.5371905055804651</v>
      </c>
    </row>
    <row r="259" spans="2:14" ht="20.100000000000001" customHeight="1">
      <c r="B259" s="56" t="s">
        <v>43</v>
      </c>
      <c r="C259" s="57"/>
      <c r="D259" s="57"/>
      <c r="E259" s="58"/>
      <c r="F259" s="58"/>
      <c r="G259" s="22">
        <f t="shared" ref="G259:N259" si="48">SUM(G231:G258)</f>
        <v>27206.49820161963</v>
      </c>
      <c r="H259" s="22">
        <f t="shared" si="48"/>
        <v>3626.22117552082</v>
      </c>
      <c r="I259" s="22">
        <f t="shared" si="48"/>
        <v>0</v>
      </c>
      <c r="J259" s="22">
        <f t="shared" si="48"/>
        <v>25900.586287941889</v>
      </c>
      <c r="K259" s="22">
        <f t="shared" si="48"/>
        <v>5956.9970948336259</v>
      </c>
      <c r="L259" s="22">
        <f t="shared" si="48"/>
        <v>5441.2996403239267</v>
      </c>
      <c r="M259" s="22">
        <f t="shared" si="48"/>
        <v>68131.602400239892</v>
      </c>
      <c r="N259" s="18">
        <f t="shared" si="48"/>
        <v>11.35526706670665</v>
      </c>
    </row>
    <row r="260" spans="2:14" ht="21.95" customHeight="1">
      <c r="B260" s="51" t="s">
        <v>44</v>
      </c>
      <c r="C260" s="52"/>
      <c r="D260" s="52"/>
      <c r="E260" s="53"/>
      <c r="F260" s="53"/>
      <c r="G260" s="54"/>
      <c r="H260" s="54"/>
      <c r="I260" s="54"/>
      <c r="J260" s="54"/>
      <c r="K260" s="54"/>
      <c r="L260" s="54"/>
      <c r="M260" s="54"/>
      <c r="N260" s="55"/>
    </row>
    <row r="261" spans="2:14" ht="36">
      <c r="B261" s="9">
        <v>29</v>
      </c>
      <c r="C261" s="7" t="s">
        <v>61</v>
      </c>
      <c r="D261" s="7" t="s">
        <v>62</v>
      </c>
      <c r="E261" s="11">
        <v>0.5</v>
      </c>
      <c r="F261" s="11">
        <v>52</v>
      </c>
      <c r="G261" s="14">
        <f>188.49226515*E261*F261</f>
        <v>4900.7988939000006</v>
      </c>
      <c r="H261" s="14">
        <f>0*E261*F261</f>
        <v>0</v>
      </c>
      <c r="I261" s="14">
        <f t="shared" ref="I261:I270" si="49">0*E261*F261</f>
        <v>0</v>
      </c>
      <c r="J261" s="14">
        <f>179.4446364228*E261*F261</f>
        <v>4665.5605469927996</v>
      </c>
      <c r="K261" s="14">
        <f>38.633374665144*E261*F261</f>
        <v>1004.4677412937439</v>
      </c>
      <c r="L261" s="14">
        <f>37.69845303*E261*F261</f>
        <v>980.15977878000012</v>
      </c>
      <c r="M261" s="14">
        <f t="shared" ref="M261:M270" si="50">SUM(G261:L261)</f>
        <v>11550.986960966544</v>
      </c>
      <c r="N261" s="18">
        <f>IF(N229&gt;0,(M261/$N$229/12),0)</f>
        <v>1.9251644934944239</v>
      </c>
    </row>
    <row r="262" spans="2:14" ht="24">
      <c r="B262" s="9">
        <v>30</v>
      </c>
      <c r="C262" s="7" t="s">
        <v>63</v>
      </c>
      <c r="D262" s="7" t="s">
        <v>64</v>
      </c>
      <c r="E262" s="11">
        <v>0.5</v>
      </c>
      <c r="F262" s="11">
        <v>52</v>
      </c>
      <c r="G262" s="14">
        <f>431.4421125*E262*F262</f>
        <v>11217.494925000001</v>
      </c>
      <c r="H262" s="14">
        <f>65.18338*E262*F262</f>
        <v>1694.7678799999999</v>
      </c>
      <c r="I262" s="14">
        <f t="shared" si="49"/>
        <v>0</v>
      </c>
      <c r="J262" s="14">
        <f>410.7328911*E262*F262</f>
        <v>10679.0551686</v>
      </c>
      <c r="K262" s="14">
        <f>95.272630278*E262*F262</f>
        <v>2477.0883872279996</v>
      </c>
      <c r="L262" s="14">
        <f>86.2884225*E262*F262</f>
        <v>2243.4989849999997</v>
      </c>
      <c r="M262" s="14">
        <f t="shared" si="50"/>
        <v>28311.905345828</v>
      </c>
      <c r="N262" s="18">
        <f>IF(N229&gt;0,(M262/$N$229/12),0)</f>
        <v>4.7186508909713334</v>
      </c>
    </row>
    <row r="263" spans="2:14" ht="24">
      <c r="B263" s="9">
        <v>31</v>
      </c>
      <c r="C263" s="7" t="s">
        <v>100</v>
      </c>
      <c r="D263" s="7" t="s">
        <v>46</v>
      </c>
      <c r="E263" s="11">
        <v>0.5</v>
      </c>
      <c r="F263" s="11">
        <v>1</v>
      </c>
      <c r="G263" s="14">
        <f>441.825*E263*F263</f>
        <v>220.91249999999999</v>
      </c>
      <c r="H263" s="14">
        <f>2.34657845*E263*F263</f>
        <v>1.173289225</v>
      </c>
      <c r="I263" s="14">
        <f t="shared" si="49"/>
        <v>0</v>
      </c>
      <c r="J263" s="14">
        <f>420.6174*E263*F263</f>
        <v>210.30869999999999</v>
      </c>
      <c r="K263" s="14">
        <f>90.80284273725*E263*F263</f>
        <v>45.401421368625002</v>
      </c>
      <c r="L263" s="14">
        <f>88.365*E263*F263</f>
        <v>44.182499999999997</v>
      </c>
      <c r="M263" s="14">
        <f t="shared" si="50"/>
        <v>521.97841059362497</v>
      </c>
      <c r="N263" s="18">
        <f>IF(N229&gt;0,(M263/$N$229/12),0)</f>
        <v>8.6996401765604151E-2</v>
      </c>
    </row>
    <row r="264" spans="2:14" ht="36">
      <c r="B264" s="9">
        <v>32</v>
      </c>
      <c r="C264" s="7" t="s">
        <v>49</v>
      </c>
      <c r="D264" s="7" t="s">
        <v>50</v>
      </c>
      <c r="E264" s="11">
        <v>0.03</v>
      </c>
      <c r="F264" s="11">
        <v>52</v>
      </c>
      <c r="G264" s="14">
        <f>7364.3391*E264*F264</f>
        <v>11488.368995999999</v>
      </c>
      <c r="H264" s="14">
        <f t="shared" ref="H264:H269" si="51">0*E264*F264</f>
        <v>0</v>
      </c>
      <c r="I264" s="14">
        <f t="shared" si="49"/>
        <v>0</v>
      </c>
      <c r="J264" s="14">
        <f>7010.8508232*E264*F264</f>
        <v>10936.927284191999</v>
      </c>
      <c r="K264" s="14">
        <f>1509.394941936*E264*F264</f>
        <v>2354.6561094201597</v>
      </c>
      <c r="L264" s="14">
        <f>1472.86782*E264*F264</f>
        <v>2297.6737991999998</v>
      </c>
      <c r="M264" s="14">
        <f t="shared" si="50"/>
        <v>27077.626188812159</v>
      </c>
      <c r="N264" s="18">
        <f>IF(N229&gt;0,(M264/$N$229/12),0)</f>
        <v>4.5129376981353593</v>
      </c>
    </row>
    <row r="265" spans="2:14">
      <c r="B265" s="9">
        <v>33</v>
      </c>
      <c r="C265" s="7" t="s">
        <v>107</v>
      </c>
      <c r="D265" s="7" t="s">
        <v>108</v>
      </c>
      <c r="E265" s="11">
        <v>1</v>
      </c>
      <c r="F265" s="11">
        <v>1</v>
      </c>
      <c r="G265" s="14">
        <f>18.02646*E265*F265</f>
        <v>18.02646</v>
      </c>
      <c r="H265" s="14">
        <f t="shared" si="51"/>
        <v>0</v>
      </c>
      <c r="I265" s="14">
        <f t="shared" si="49"/>
        <v>0</v>
      </c>
      <c r="J265" s="14">
        <f>17.16118992*E265*F265</f>
        <v>17.161189920000002</v>
      </c>
      <c r="K265" s="14">
        <f>3.6947032416*E265*F265</f>
        <v>3.6947032416000001</v>
      </c>
      <c r="L265" s="14">
        <f>3.605292*E265*F265</f>
        <v>3.6052919999999999</v>
      </c>
      <c r="M265" s="14">
        <f t="shared" si="50"/>
        <v>42.4876451616</v>
      </c>
      <c r="N265" s="18">
        <f>IF(N229&gt;0,(M265/$N$229/12),0)</f>
        <v>7.0812741936E-3</v>
      </c>
    </row>
    <row r="266" spans="2:14" ht="24">
      <c r="B266" s="9">
        <v>34</v>
      </c>
      <c r="C266" s="7" t="s">
        <v>109</v>
      </c>
      <c r="D266" s="7" t="s">
        <v>52</v>
      </c>
      <c r="E266" s="11">
        <v>3.5</v>
      </c>
      <c r="F266" s="11">
        <v>1</v>
      </c>
      <c r="G266" s="14">
        <f>477.171*E266*F266</f>
        <v>1670.0985000000001</v>
      </c>
      <c r="H266" s="14">
        <f t="shared" si="51"/>
        <v>0</v>
      </c>
      <c r="I266" s="14">
        <f t="shared" si="49"/>
        <v>0</v>
      </c>
      <c r="J266" s="14">
        <f>454.266792*E266*F266</f>
        <v>1589.9337720000001</v>
      </c>
      <c r="K266" s="14">
        <f>97.80096816*E266*F266</f>
        <v>342.30338855999997</v>
      </c>
      <c r="L266" s="14">
        <f>95.4342*E266*F266</f>
        <v>334.0197</v>
      </c>
      <c r="M266" s="14">
        <f t="shared" si="50"/>
        <v>3936.35536056</v>
      </c>
      <c r="N266" s="18">
        <f>IF(N229&gt;0,(M266/$N$229/12),0)</f>
        <v>0.65605922675999995</v>
      </c>
    </row>
    <row r="267" spans="2:14">
      <c r="B267" s="9">
        <v>35</v>
      </c>
      <c r="C267" s="7" t="s">
        <v>53</v>
      </c>
      <c r="D267" s="7" t="s">
        <v>54</v>
      </c>
      <c r="E267" s="11">
        <v>3.5</v>
      </c>
      <c r="F267" s="11">
        <v>1</v>
      </c>
      <c r="G267" s="14">
        <f>212.076*E267*F267</f>
        <v>742.26599999999996</v>
      </c>
      <c r="H267" s="14">
        <f t="shared" si="51"/>
        <v>0</v>
      </c>
      <c r="I267" s="14">
        <f t="shared" si="49"/>
        <v>0</v>
      </c>
      <c r="J267" s="14">
        <f>201.896352*E267*F267</f>
        <v>706.63723200000004</v>
      </c>
      <c r="K267" s="14">
        <f>43.46709696*E267*F267</f>
        <v>152.13483936</v>
      </c>
      <c r="L267" s="14">
        <f>42.4152*E267*F267</f>
        <v>148.45319999999998</v>
      </c>
      <c r="M267" s="14">
        <f t="shared" si="50"/>
        <v>1749.4912713600002</v>
      </c>
      <c r="N267" s="18">
        <f>IF(N229&gt;0,(M267/$N$229/12),0)</f>
        <v>0.29158187856000001</v>
      </c>
    </row>
    <row r="268" spans="2:14" ht="24">
      <c r="B268" s="9">
        <v>36</v>
      </c>
      <c r="C268" s="7" t="s">
        <v>110</v>
      </c>
      <c r="D268" s="7" t="s">
        <v>111</v>
      </c>
      <c r="E268" s="11">
        <v>0.2</v>
      </c>
      <c r="F268" s="11">
        <v>1</v>
      </c>
      <c r="G268" s="14">
        <f>243.8874*E268*F268</f>
        <v>48.777480000000004</v>
      </c>
      <c r="H268" s="14">
        <f t="shared" si="51"/>
        <v>0</v>
      </c>
      <c r="I268" s="14">
        <f t="shared" si="49"/>
        <v>0</v>
      </c>
      <c r="J268" s="14">
        <f>232.1808048*E268*F268</f>
        <v>46.436160960000002</v>
      </c>
      <c r="K268" s="14">
        <f>49.987161504*E268*F268</f>
        <v>9.9974323007999999</v>
      </c>
      <c r="L268" s="14">
        <f>48.77748*E268*F268</f>
        <v>9.7554960000000008</v>
      </c>
      <c r="M268" s="14">
        <f t="shared" si="50"/>
        <v>114.96656926080001</v>
      </c>
      <c r="N268" s="18">
        <f>IF(N229&gt;0,(M268/$N$229/12),0)</f>
        <v>1.9161094876800001E-2</v>
      </c>
    </row>
    <row r="269" spans="2:14">
      <c r="B269" s="9">
        <v>37</v>
      </c>
      <c r="C269" s="7" t="s">
        <v>112</v>
      </c>
      <c r="D269" s="7" t="s">
        <v>111</v>
      </c>
      <c r="E269" s="11">
        <v>0.12</v>
      </c>
      <c r="F269" s="11">
        <v>1</v>
      </c>
      <c r="G269" s="14">
        <f>1060.38*E269*F269</f>
        <v>127.24560000000001</v>
      </c>
      <c r="H269" s="14">
        <f t="shared" si="51"/>
        <v>0</v>
      </c>
      <c r="I269" s="14">
        <f t="shared" si="49"/>
        <v>0</v>
      </c>
      <c r="J269" s="14">
        <f>1009.48176*E269*F269</f>
        <v>121.1378112</v>
      </c>
      <c r="K269" s="14">
        <f>217.3354848*E269*F269</f>
        <v>26.080258175999997</v>
      </c>
      <c r="L269" s="14">
        <f>212.076*E269*F269</f>
        <v>25.449119999999997</v>
      </c>
      <c r="M269" s="14">
        <f t="shared" si="50"/>
        <v>299.91278937599998</v>
      </c>
      <c r="N269" s="18">
        <f>IF(N229&gt;0,(M269/$N$229/12),0)</f>
        <v>4.9985464895999997E-2</v>
      </c>
    </row>
    <row r="270" spans="2:14">
      <c r="B270" s="9">
        <v>38</v>
      </c>
      <c r="C270" s="7" t="s">
        <v>113</v>
      </c>
      <c r="D270" s="7" t="s">
        <v>114</v>
      </c>
      <c r="E270" s="11">
        <v>0.12</v>
      </c>
      <c r="F270" s="11">
        <v>1</v>
      </c>
      <c r="G270" s="14">
        <f>429.4539*E270*F270</f>
        <v>51.534467999999997</v>
      </c>
      <c r="H270" s="14">
        <f>2.295565875*E270*F270</f>
        <v>0.27546790499999996</v>
      </c>
      <c r="I270" s="14">
        <f t="shared" si="49"/>
        <v>0</v>
      </c>
      <c r="J270" s="14">
        <f>408.8401128*E270*F270</f>
        <v>49.060813535999998</v>
      </c>
      <c r="K270" s="14">
        <f>88.261905760875*E270*F270</f>
        <v>10.591428691305</v>
      </c>
      <c r="L270" s="14">
        <f>85.89078*E270*F270</f>
        <v>10.3068936</v>
      </c>
      <c r="M270" s="14">
        <f t="shared" si="50"/>
        <v>121.76907173230498</v>
      </c>
      <c r="N270" s="18">
        <f>IF(N229&gt;0,(M270/$N$229/12),0)</f>
        <v>2.0294845288717497E-2</v>
      </c>
    </row>
    <row r="271" spans="2:14" ht="12.75">
      <c r="B271" s="56" t="s">
        <v>43</v>
      </c>
      <c r="C271" s="57"/>
      <c r="D271" s="57"/>
      <c r="E271" s="58"/>
      <c r="F271" s="58"/>
      <c r="G271" s="22">
        <f t="shared" ref="G271:N271" si="52">SUM(G261:G270)</f>
        <v>30485.523822900002</v>
      </c>
      <c r="H271" s="22">
        <f t="shared" si="52"/>
        <v>1696.2166371299998</v>
      </c>
      <c r="I271" s="22">
        <f t="shared" si="52"/>
        <v>0</v>
      </c>
      <c r="J271" s="22">
        <f t="shared" si="52"/>
        <v>29022.218679400798</v>
      </c>
      <c r="K271" s="22">
        <f t="shared" si="52"/>
        <v>6426.4157096402332</v>
      </c>
      <c r="L271" s="22">
        <f t="shared" si="52"/>
        <v>6097.104764579999</v>
      </c>
      <c r="M271" s="22">
        <f t="shared" si="52"/>
        <v>73727.479613651041</v>
      </c>
      <c r="N271" s="18">
        <f t="shared" si="52"/>
        <v>12.287913268941839</v>
      </c>
    </row>
    <row r="272" spans="2:14" ht="27.95" customHeight="1">
      <c r="B272" s="59" t="s">
        <v>55</v>
      </c>
      <c r="C272" s="60"/>
      <c r="D272" s="60"/>
      <c r="E272" s="61"/>
      <c r="F272" s="61"/>
      <c r="G272" s="23">
        <f t="shared" ref="G272:N272" si="53">G259+G271</f>
        <v>57692.022024519632</v>
      </c>
      <c r="H272" s="23">
        <f t="shared" si="53"/>
        <v>5322.43781265082</v>
      </c>
      <c r="I272" s="23">
        <f t="shared" si="53"/>
        <v>0</v>
      </c>
      <c r="J272" s="23">
        <f t="shared" si="53"/>
        <v>54922.804967342687</v>
      </c>
      <c r="K272" s="23">
        <f t="shared" si="53"/>
        <v>12383.412804473859</v>
      </c>
      <c r="L272" s="23">
        <f t="shared" si="53"/>
        <v>11538.404404903926</v>
      </c>
      <c r="M272" s="23">
        <f t="shared" si="53"/>
        <v>141859.08201389093</v>
      </c>
      <c r="N272" s="24">
        <f t="shared" si="53"/>
        <v>23.643180335648488</v>
      </c>
    </row>
    <row r="273" spans="2:14" ht="24.95" customHeight="1">
      <c r="B273" s="62" t="s">
        <v>134</v>
      </c>
      <c r="C273" s="63"/>
      <c r="D273" s="63"/>
      <c r="E273" s="63"/>
      <c r="F273" s="63"/>
      <c r="G273" s="64"/>
      <c r="H273" s="64"/>
      <c r="I273" s="64"/>
      <c r="J273" s="64"/>
      <c r="K273" s="64"/>
      <c r="L273" s="65" t="s">
        <v>15</v>
      </c>
      <c r="M273" s="65"/>
      <c r="N273" s="25">
        <v>460</v>
      </c>
    </row>
    <row r="274" spans="2:14" ht="21.95" customHeight="1">
      <c r="B274" s="42" t="s">
        <v>16</v>
      </c>
      <c r="C274" s="43"/>
      <c r="D274" s="43"/>
      <c r="E274" s="43"/>
      <c r="F274" s="43"/>
      <c r="G274" s="44"/>
      <c r="H274" s="44"/>
      <c r="I274" s="44"/>
      <c r="J274" s="44"/>
      <c r="K274" s="44"/>
      <c r="L274" s="44"/>
      <c r="M274" s="44"/>
      <c r="N274" s="45"/>
    </row>
    <row r="275" spans="2:14">
      <c r="B275" s="8">
        <v>1</v>
      </c>
      <c r="C275" s="6" t="s">
        <v>116</v>
      </c>
      <c r="D275" s="6" t="s">
        <v>117</v>
      </c>
      <c r="E275" s="10">
        <v>16</v>
      </c>
      <c r="F275" s="10">
        <v>1</v>
      </c>
      <c r="G275" s="13">
        <f>9.4585896*E275*F275</f>
        <v>151.3374336</v>
      </c>
      <c r="H275" s="13">
        <f>0*E275*F275</f>
        <v>0</v>
      </c>
      <c r="I275" s="13">
        <f t="shared" ref="I275:I297" si="54">0*E275*F275</f>
        <v>0</v>
      </c>
      <c r="J275" s="13">
        <f>9.0045772992*E275*F275</f>
        <v>144.07323678719999</v>
      </c>
      <c r="K275" s="13">
        <f>1.938632524416*E275*F275</f>
        <v>31.018120390656001</v>
      </c>
      <c r="L275" s="13">
        <f>1.89171792*E275*F275</f>
        <v>30.267486720000001</v>
      </c>
      <c r="M275" s="13">
        <f t="shared" ref="M275:M297" si="55">SUM(G275:L275)</f>
        <v>356.69627749785599</v>
      </c>
      <c r="N275" s="17">
        <f>IF(N273&gt;0,(M275/$N$273/12),0)</f>
        <v>6.4618890851060859E-2</v>
      </c>
    </row>
    <row r="276" spans="2:14" ht="24">
      <c r="B276" s="9">
        <v>2</v>
      </c>
      <c r="C276" s="7" t="s">
        <v>118</v>
      </c>
      <c r="D276" s="7" t="s">
        <v>119</v>
      </c>
      <c r="E276" s="11">
        <v>25</v>
      </c>
      <c r="F276" s="11">
        <v>1</v>
      </c>
      <c r="G276" s="14">
        <f>13.4226435*E276*F276</f>
        <v>335.56608749999998</v>
      </c>
      <c r="H276" s="14">
        <f>0*E276*F276</f>
        <v>0</v>
      </c>
      <c r="I276" s="14">
        <f t="shared" si="54"/>
        <v>0</v>
      </c>
      <c r="J276" s="14">
        <f>12.778356612*E276*F276</f>
        <v>319.4589153</v>
      </c>
      <c r="K276" s="14">
        <f>2.75110501176*E276*F276</f>
        <v>68.777625294000003</v>
      </c>
      <c r="L276" s="14">
        <f>2.6845287*E276*F276</f>
        <v>67.113217500000005</v>
      </c>
      <c r="M276" s="14">
        <f t="shared" si="55"/>
        <v>790.91584559400007</v>
      </c>
      <c r="N276" s="18">
        <f>IF(N273&gt;0,(M276/$N$273/12),0)</f>
        <v>0.14328185608586957</v>
      </c>
    </row>
    <row r="277" spans="2:14">
      <c r="B277" s="9">
        <v>3</v>
      </c>
      <c r="C277" s="7" t="s">
        <v>120</v>
      </c>
      <c r="D277" s="7" t="s">
        <v>121</v>
      </c>
      <c r="E277" s="11">
        <v>25</v>
      </c>
      <c r="F277" s="11">
        <v>1</v>
      </c>
      <c r="G277" s="14">
        <f>53.690574*E277*F277</f>
        <v>1342.2643499999999</v>
      </c>
      <c r="H277" s="14">
        <f>0*E277*F277</f>
        <v>0</v>
      </c>
      <c r="I277" s="14">
        <f t="shared" si="54"/>
        <v>0</v>
      </c>
      <c r="J277" s="14">
        <f>51.113426448*E277*F277</f>
        <v>1277.8356612</v>
      </c>
      <c r="K277" s="14">
        <f>11.00442004704*E277*F277</f>
        <v>275.11050117600001</v>
      </c>
      <c r="L277" s="14">
        <f>10.7381148*E277*F277</f>
        <v>268.45287000000002</v>
      </c>
      <c r="M277" s="14">
        <f t="shared" si="55"/>
        <v>3163.6633823760003</v>
      </c>
      <c r="N277" s="18">
        <f>IF(N273&gt;0,(M277/$N$273/12),0)</f>
        <v>0.5731274243434783</v>
      </c>
    </row>
    <row r="278" spans="2:14" ht="48">
      <c r="B278" s="9">
        <v>4</v>
      </c>
      <c r="C278" s="7" t="s">
        <v>122</v>
      </c>
      <c r="D278" s="7" t="s">
        <v>123</v>
      </c>
      <c r="E278" s="11">
        <v>16</v>
      </c>
      <c r="F278" s="11">
        <v>1</v>
      </c>
      <c r="G278" s="14">
        <f>49.6575954*E278*F278</f>
        <v>794.52152639999997</v>
      </c>
      <c r="H278" s="14">
        <f>0*E278*F278</f>
        <v>0</v>
      </c>
      <c r="I278" s="14">
        <f t="shared" si="54"/>
        <v>0</v>
      </c>
      <c r="J278" s="14">
        <f>47.2740308208*E278*F278</f>
        <v>756.3844931328</v>
      </c>
      <c r="K278" s="14">
        <f>10.177820753184*E278*F278</f>
        <v>162.84513205094399</v>
      </c>
      <c r="L278" s="14">
        <f>9.93151908*E278*F278</f>
        <v>158.90430527999999</v>
      </c>
      <c r="M278" s="14">
        <f t="shared" si="55"/>
        <v>1872.6554568637439</v>
      </c>
      <c r="N278" s="18">
        <f>IF(N273&gt;0,(M278/$N$273/12),0)</f>
        <v>0.3392491769680695</v>
      </c>
    </row>
    <row r="279" spans="2:14" ht="36">
      <c r="B279" s="9">
        <v>5</v>
      </c>
      <c r="C279" s="7" t="s">
        <v>124</v>
      </c>
      <c r="D279" s="7" t="s">
        <v>125</v>
      </c>
      <c r="E279" s="11">
        <v>8</v>
      </c>
      <c r="F279" s="11">
        <v>1</v>
      </c>
      <c r="G279" s="14">
        <f>3.835041*E279*F279</f>
        <v>30.680327999999999</v>
      </c>
      <c r="H279" s="14">
        <f>0*E279*F279</f>
        <v>0</v>
      </c>
      <c r="I279" s="14">
        <f t="shared" si="54"/>
        <v>0</v>
      </c>
      <c r="J279" s="14">
        <f>3.650959032*E279*F279</f>
        <v>29.207672255999999</v>
      </c>
      <c r="K279" s="14">
        <f>0.78603000336*E279*F279</f>
        <v>6.2882400268799996</v>
      </c>
      <c r="L279" s="14">
        <f>0.7670082*E279*F279</f>
        <v>6.1360656000000002</v>
      </c>
      <c r="M279" s="14">
        <f t="shared" si="55"/>
        <v>72.312305882879997</v>
      </c>
      <c r="N279" s="18">
        <f>IF(N273&gt;0,(M279/$N$273/12),0)</f>
        <v>1.3100055413565216E-2</v>
      </c>
    </row>
    <row r="280" spans="2:14" ht="24">
      <c r="B280" s="9">
        <v>6</v>
      </c>
      <c r="C280" s="7" t="s">
        <v>76</v>
      </c>
      <c r="D280" s="7" t="s">
        <v>77</v>
      </c>
      <c r="E280" s="11">
        <v>1</v>
      </c>
      <c r="F280" s="11">
        <v>1</v>
      </c>
      <c r="G280" s="14">
        <f>28.763692487846*E280*F280</f>
        <v>28.763692487846001</v>
      </c>
      <c r="H280" s="14">
        <f>328.50591278152*E280*F280</f>
        <v>328.50591278152001</v>
      </c>
      <c r="I280" s="14">
        <f t="shared" si="54"/>
        <v>0</v>
      </c>
      <c r="J280" s="14">
        <f>27.383035248429*E280*F280</f>
        <v>27.383035248429</v>
      </c>
      <c r="K280" s="14">
        <f>40.388527254368*E280*F280</f>
        <v>40.388527254368</v>
      </c>
      <c r="L280" s="14">
        <f>5.7527384975692*E280*F280</f>
        <v>5.7527384975692</v>
      </c>
      <c r="M280" s="14">
        <f t="shared" si="55"/>
        <v>430.79390626973225</v>
      </c>
      <c r="N280" s="18">
        <f>IF(N273&gt;0,(M280/$N$273/12),0)</f>
        <v>7.8042374324226851E-2</v>
      </c>
    </row>
    <row r="281" spans="2:14">
      <c r="B281" s="9">
        <v>7</v>
      </c>
      <c r="C281" s="7" t="s">
        <v>78</v>
      </c>
      <c r="D281" s="7" t="s">
        <v>79</v>
      </c>
      <c r="E281" s="11">
        <v>0.1</v>
      </c>
      <c r="F281" s="11">
        <v>1</v>
      </c>
      <c r="G281" s="14">
        <f>4615.569045*E281*F281</f>
        <v>461.55690450000003</v>
      </c>
      <c r="H281" s="14">
        <f>13663.902655643*E281*F281</f>
        <v>1366.3902655643001</v>
      </c>
      <c r="I281" s="14">
        <f t="shared" si="54"/>
        <v>0</v>
      </c>
      <c r="J281" s="14">
        <f>4394.02173084*E281*F281</f>
        <v>439.40217308399997</v>
      </c>
      <c r="K281" s="14">
        <f>2380.7168103057*E281*F281</f>
        <v>238.07168103057003</v>
      </c>
      <c r="L281" s="14">
        <f>923.113809*E281*F281</f>
        <v>92.311380900000003</v>
      </c>
      <c r="M281" s="14">
        <f t="shared" si="55"/>
        <v>2597.7324050788702</v>
      </c>
      <c r="N281" s="18">
        <f>IF(N273&gt;0,(M281/$N$273/12),0)</f>
        <v>0.47060369657225909</v>
      </c>
    </row>
    <row r="282" spans="2:14" ht="24">
      <c r="B282" s="9">
        <v>8</v>
      </c>
      <c r="C282" s="7" t="s">
        <v>80</v>
      </c>
      <c r="D282" s="7" t="s">
        <v>18</v>
      </c>
      <c r="E282" s="11">
        <v>0.46</v>
      </c>
      <c r="F282" s="11">
        <v>1</v>
      </c>
      <c r="G282" s="14">
        <f>4871.173644*E282*F282</f>
        <v>2240.7398762400003</v>
      </c>
      <c r="H282" s="14">
        <f>2802.81742356*E282*F282</f>
        <v>1289.2960148376001</v>
      </c>
      <c r="I282" s="14">
        <f t="shared" si="54"/>
        <v>0</v>
      </c>
      <c r="J282" s="14">
        <f>4637.357309088*E282*F282</f>
        <v>2133.1843621804801</v>
      </c>
      <c r="K282" s="14">
        <f>1292.691579548*E282*F282</f>
        <v>594.63812659207997</v>
      </c>
      <c r="L282" s="14">
        <f>974.2347288*E282*F282</f>
        <v>448.14797524800002</v>
      </c>
      <c r="M282" s="14">
        <f t="shared" si="55"/>
        <v>6706.0063550981604</v>
      </c>
      <c r="N282" s="18">
        <f>IF(N273&gt;0,(M282/$N$273/12),0)</f>
        <v>1.2148562237496667</v>
      </c>
    </row>
    <row r="283" spans="2:14" ht="24">
      <c r="B283" s="9">
        <v>9</v>
      </c>
      <c r="C283" s="7" t="s">
        <v>17</v>
      </c>
      <c r="D283" s="7" t="s">
        <v>18</v>
      </c>
      <c r="E283" s="11">
        <v>0.46</v>
      </c>
      <c r="F283" s="11">
        <v>1</v>
      </c>
      <c r="G283" s="14">
        <f>81.7446942*E283*F283</f>
        <v>37.602559331999998</v>
      </c>
      <c r="H283" s="14">
        <f t="shared" ref="H283:H288" si="56">0*E283*F283</f>
        <v>0</v>
      </c>
      <c r="I283" s="14">
        <f t="shared" si="54"/>
        <v>0</v>
      </c>
      <c r="J283" s="14">
        <f>77.8209488784*E283*F283</f>
        <v>35.797636484064</v>
      </c>
      <c r="K283" s="14">
        <f>16.754392523232*E283*F283</f>
        <v>7.7070205606867201</v>
      </c>
      <c r="L283" s="14">
        <f>16.34893884*E283*F283</f>
        <v>7.5205118663999997</v>
      </c>
      <c r="M283" s="14">
        <f t="shared" si="55"/>
        <v>88.627728243150713</v>
      </c>
      <c r="N283" s="18">
        <f>IF(N273&gt;0,(M283/$N$273/12),0)</f>
        <v>1.6055747870135997E-2</v>
      </c>
    </row>
    <row r="284" spans="2:14" ht="24">
      <c r="B284" s="9">
        <v>10</v>
      </c>
      <c r="C284" s="7" t="s">
        <v>57</v>
      </c>
      <c r="D284" s="7" t="s">
        <v>18</v>
      </c>
      <c r="E284" s="11">
        <v>0.46</v>
      </c>
      <c r="F284" s="11">
        <v>1</v>
      </c>
      <c r="G284" s="14">
        <f>651.8615358*E284*F284</f>
        <v>299.85630646800001</v>
      </c>
      <c r="H284" s="14">
        <f t="shared" si="56"/>
        <v>0</v>
      </c>
      <c r="I284" s="14">
        <f t="shared" si="54"/>
        <v>0</v>
      </c>
      <c r="J284" s="14">
        <f>620.5721820816*E284*F284</f>
        <v>285.46320375753601</v>
      </c>
      <c r="K284" s="14">
        <f>133.60554037757*E284*F284</f>
        <v>61.458548573682208</v>
      </c>
      <c r="L284" s="14">
        <f>130.37230716*E284*F284</f>
        <v>59.971261293600001</v>
      </c>
      <c r="M284" s="14">
        <f t="shared" si="55"/>
        <v>706.74932009281838</v>
      </c>
      <c r="N284" s="18">
        <f>IF(N273&gt;0,(M284/$N$273/12),0)</f>
        <v>0.1280342971182642</v>
      </c>
    </row>
    <row r="285" spans="2:14" ht="24">
      <c r="B285" s="9">
        <v>11</v>
      </c>
      <c r="C285" s="7" t="s">
        <v>23</v>
      </c>
      <c r="D285" s="7" t="s">
        <v>18</v>
      </c>
      <c r="E285" s="11">
        <v>0.46</v>
      </c>
      <c r="F285" s="11">
        <v>1</v>
      </c>
      <c r="G285" s="14">
        <f>945.85896*E285*F285</f>
        <v>435.09512160000003</v>
      </c>
      <c r="H285" s="14">
        <f t="shared" si="56"/>
        <v>0</v>
      </c>
      <c r="I285" s="14">
        <f t="shared" si="54"/>
        <v>0</v>
      </c>
      <c r="J285" s="14">
        <f>900.45772992*E285*F285</f>
        <v>414.21055576320003</v>
      </c>
      <c r="K285" s="14">
        <f>193.8632524416*E285*F285</f>
        <v>89.177096123135996</v>
      </c>
      <c r="L285" s="14">
        <f>189.171792*E285*F285</f>
        <v>87.019024320000014</v>
      </c>
      <c r="M285" s="14">
        <f t="shared" si="55"/>
        <v>1025.5017978063361</v>
      </c>
      <c r="N285" s="18">
        <f>IF(N273&gt;0,(M285/$N$273/12),0)</f>
        <v>0.18577931119680002</v>
      </c>
    </row>
    <row r="286" spans="2:14" ht="24">
      <c r="B286" s="9">
        <v>12</v>
      </c>
      <c r="C286" s="7" t="s">
        <v>24</v>
      </c>
      <c r="D286" s="7" t="s">
        <v>18</v>
      </c>
      <c r="E286" s="11">
        <v>0.46</v>
      </c>
      <c r="F286" s="11">
        <v>1</v>
      </c>
      <c r="G286" s="14">
        <f>709.39422*E286*F286</f>
        <v>326.32134120000001</v>
      </c>
      <c r="H286" s="14">
        <f t="shared" si="56"/>
        <v>0</v>
      </c>
      <c r="I286" s="14">
        <f t="shared" si="54"/>
        <v>0</v>
      </c>
      <c r="J286" s="14">
        <f>675.34329744*E286*F286</f>
        <v>310.65791682240001</v>
      </c>
      <c r="K286" s="14">
        <f>145.3974393312*E286*F286</f>
        <v>66.882822092352001</v>
      </c>
      <c r="L286" s="14">
        <f>141.878844*E286*F286</f>
        <v>65.264268239999993</v>
      </c>
      <c r="M286" s="14">
        <f t="shared" si="55"/>
        <v>769.12634835475194</v>
      </c>
      <c r="N286" s="18">
        <f>IF(N273&gt;0,(M286/$N$273/12),0)</f>
        <v>0.13933448339759999</v>
      </c>
    </row>
    <row r="287" spans="2:14" ht="24">
      <c r="B287" s="9">
        <v>13</v>
      </c>
      <c r="C287" s="7" t="s">
        <v>84</v>
      </c>
      <c r="D287" s="7" t="s">
        <v>85</v>
      </c>
      <c r="E287" s="11">
        <v>0.12</v>
      </c>
      <c r="F287" s="11">
        <v>1</v>
      </c>
      <c r="G287" s="14">
        <f>14187.8844*E287*F287</f>
        <v>1702.546128</v>
      </c>
      <c r="H287" s="14">
        <f t="shared" si="56"/>
        <v>0</v>
      </c>
      <c r="I287" s="14">
        <f t="shared" si="54"/>
        <v>0</v>
      </c>
      <c r="J287" s="14">
        <f>13506.8659488*E287*F287</f>
        <v>1620.8239138559998</v>
      </c>
      <c r="K287" s="14">
        <f>2907.948786624*E287*F287</f>
        <v>348.95385439488001</v>
      </c>
      <c r="L287" s="14">
        <f>2837.57688*E287*F287</f>
        <v>340.50922559999998</v>
      </c>
      <c r="M287" s="14">
        <f t="shared" si="55"/>
        <v>4012.8331218508797</v>
      </c>
      <c r="N287" s="18">
        <f>IF(N273&gt;0,(M287/$N$273/12),0)</f>
        <v>0.72696252207443468</v>
      </c>
    </row>
    <row r="288" spans="2:14">
      <c r="B288" s="9">
        <v>14</v>
      </c>
      <c r="C288" s="7" t="s">
        <v>86</v>
      </c>
      <c r="D288" s="7" t="s">
        <v>87</v>
      </c>
      <c r="E288" s="11">
        <v>18</v>
      </c>
      <c r="F288" s="11">
        <v>1</v>
      </c>
      <c r="G288" s="14">
        <f>205.7243238*E288*F288</f>
        <v>3703.0378284000003</v>
      </c>
      <c r="H288" s="14">
        <f t="shared" si="56"/>
        <v>0</v>
      </c>
      <c r="I288" s="14">
        <f t="shared" si="54"/>
        <v>0</v>
      </c>
      <c r="J288" s="14">
        <f>195.8495562576*E288*F288</f>
        <v>3525.2920126367999</v>
      </c>
      <c r="K288" s="14">
        <f>42.165257406048*E288*F288</f>
        <v>758.97463330886399</v>
      </c>
      <c r="L288" s="14">
        <f>41.14486476*E288*F288</f>
        <v>740.60756567999999</v>
      </c>
      <c r="M288" s="14">
        <f t="shared" si="55"/>
        <v>8727.9120400256652</v>
      </c>
      <c r="N288" s="18">
        <f>IF(N273&gt;0,(M288/$N$273/12),0)</f>
        <v>1.5811434855118958</v>
      </c>
    </row>
    <row r="289" spans="2:14" ht="36">
      <c r="B289" s="9">
        <v>15</v>
      </c>
      <c r="C289" s="7" t="s">
        <v>88</v>
      </c>
      <c r="D289" s="7" t="s">
        <v>89</v>
      </c>
      <c r="E289" s="11">
        <v>0.1</v>
      </c>
      <c r="F289" s="11">
        <v>1</v>
      </c>
      <c r="G289" s="14">
        <f>7425.045855*E289*F289</f>
        <v>742.50458550000008</v>
      </c>
      <c r="H289" s="14">
        <f>594.4391865*E289*F289</f>
        <v>59.443918650000001</v>
      </c>
      <c r="I289" s="14">
        <f t="shared" si="54"/>
        <v>0</v>
      </c>
      <c r="J289" s="14">
        <f>7068.64365396*E289*F289</f>
        <v>706.86436539600004</v>
      </c>
      <c r="K289" s="14">
        <f>1584.2535130233*E289*F289</f>
        <v>158.42535130233</v>
      </c>
      <c r="L289" s="14">
        <f>1485.009171*E289*F289</f>
        <v>148.50091710000001</v>
      </c>
      <c r="M289" s="14">
        <f t="shared" si="55"/>
        <v>1815.7391379483299</v>
      </c>
      <c r="N289" s="18">
        <f>IF(N273&gt;0,(M289/$N$273/12),0)</f>
        <v>0.32893824962832063</v>
      </c>
    </row>
    <row r="290" spans="2:14" ht="24">
      <c r="B290" s="9">
        <v>16</v>
      </c>
      <c r="C290" s="7" t="s">
        <v>90</v>
      </c>
      <c r="D290" s="7" t="s">
        <v>18</v>
      </c>
      <c r="E290" s="11">
        <v>0.46</v>
      </c>
      <c r="F290" s="11">
        <v>1</v>
      </c>
      <c r="G290" s="14">
        <f>880.327476*E290*F290</f>
        <v>404.95063896000005</v>
      </c>
      <c r="H290" s="14">
        <f>0*E290*F290</f>
        <v>0</v>
      </c>
      <c r="I290" s="14">
        <f t="shared" si="54"/>
        <v>0</v>
      </c>
      <c r="J290" s="14">
        <f>838.071757152*E290*F290</f>
        <v>385.51300828992004</v>
      </c>
      <c r="K290" s="14">
        <f>180.43191948096*E290*F290</f>
        <v>82.998682961241599</v>
      </c>
      <c r="L290" s="14">
        <f>176.0654952*E290*F290</f>
        <v>80.990127791999996</v>
      </c>
      <c r="M290" s="14">
        <f t="shared" si="55"/>
        <v>954.45245800316161</v>
      </c>
      <c r="N290" s="18">
        <f>IF(N273&gt;0,(M290/$N$273/12),0)</f>
        <v>0.17290805398608</v>
      </c>
    </row>
    <row r="291" spans="2:14" ht="24">
      <c r="B291" s="9">
        <v>17</v>
      </c>
      <c r="C291" s="7" t="s">
        <v>91</v>
      </c>
      <c r="D291" s="7" t="s">
        <v>18</v>
      </c>
      <c r="E291" s="11">
        <v>0.46</v>
      </c>
      <c r="F291" s="11">
        <v>1</v>
      </c>
      <c r="G291" s="14">
        <f>880.327476*E291*F291</f>
        <v>404.95063896000005</v>
      </c>
      <c r="H291" s="14">
        <f>0*E291*F291</f>
        <v>0</v>
      </c>
      <c r="I291" s="14">
        <f t="shared" si="54"/>
        <v>0</v>
      </c>
      <c r="J291" s="14">
        <f>838.071757152*E291*F291</f>
        <v>385.51300828992004</v>
      </c>
      <c r="K291" s="14">
        <f>180.43191948096*E291*F291</f>
        <v>82.998682961241599</v>
      </c>
      <c r="L291" s="14">
        <f>176.0654952*E291*F291</f>
        <v>80.990127791999996</v>
      </c>
      <c r="M291" s="14">
        <f t="shared" si="55"/>
        <v>954.45245800316161</v>
      </c>
      <c r="N291" s="18">
        <f>IF(N273&gt;0,(M291/$N$273/12),0)</f>
        <v>0.17290805398608</v>
      </c>
    </row>
    <row r="292" spans="2:14" ht="24">
      <c r="B292" s="9">
        <v>18</v>
      </c>
      <c r="C292" s="7" t="s">
        <v>92</v>
      </c>
      <c r="D292" s="7" t="s">
        <v>18</v>
      </c>
      <c r="E292" s="11">
        <v>0.46</v>
      </c>
      <c r="F292" s="11">
        <v>1</v>
      </c>
      <c r="G292" s="14">
        <f>880.327476*E292*F292</f>
        <v>404.95063896000005</v>
      </c>
      <c r="H292" s="14">
        <f>0*E292*F292</f>
        <v>0</v>
      </c>
      <c r="I292" s="14">
        <f t="shared" si="54"/>
        <v>0</v>
      </c>
      <c r="J292" s="14">
        <f>838.071757152*E292*F292</f>
        <v>385.51300828992004</v>
      </c>
      <c r="K292" s="14">
        <f>180.43191948096*E292*F292</f>
        <v>82.998682961241599</v>
      </c>
      <c r="L292" s="14">
        <f>176.0654952*E292*F292</f>
        <v>80.990127791999996</v>
      </c>
      <c r="M292" s="14">
        <f t="shared" si="55"/>
        <v>954.45245800316161</v>
      </c>
      <c r="N292" s="18">
        <f>IF(N273&gt;0,(M292/$N$273/12),0)</f>
        <v>0.17290805398608</v>
      </c>
    </row>
    <row r="293" spans="2:14" ht="24">
      <c r="B293" s="9">
        <v>19</v>
      </c>
      <c r="C293" s="7" t="s">
        <v>27</v>
      </c>
      <c r="D293" s="7" t="s">
        <v>28</v>
      </c>
      <c r="E293" s="11">
        <v>0.02</v>
      </c>
      <c r="F293" s="11">
        <v>1</v>
      </c>
      <c r="G293" s="14">
        <f>2128.18266*E293*F293</f>
        <v>42.563653199999997</v>
      </c>
      <c r="H293" s="14">
        <f>0*E293*F293</f>
        <v>0</v>
      </c>
      <c r="I293" s="14">
        <f t="shared" si="54"/>
        <v>0</v>
      </c>
      <c r="J293" s="14">
        <f>2026.02989232*E293*F293</f>
        <v>40.520597846400001</v>
      </c>
      <c r="K293" s="14">
        <f>436.1923179936*E293*F293</f>
        <v>8.7238463598720006</v>
      </c>
      <c r="L293" s="14">
        <f>425.636532*E293*F293</f>
        <v>8.5127306399999991</v>
      </c>
      <c r="M293" s="14">
        <f t="shared" si="55"/>
        <v>100.320828046272</v>
      </c>
      <c r="N293" s="18">
        <f>IF(N273&gt;0,(M293/$N$273/12),0)</f>
        <v>1.817406305186087E-2</v>
      </c>
    </row>
    <row r="294" spans="2:14">
      <c r="B294" s="9">
        <v>20</v>
      </c>
      <c r="C294" s="7" t="s">
        <v>29</v>
      </c>
      <c r="D294" s="7" t="s">
        <v>30</v>
      </c>
      <c r="E294" s="11">
        <v>1</v>
      </c>
      <c r="F294" s="11">
        <v>1</v>
      </c>
      <c r="G294" s="14">
        <f>1048.0089*E294*F294</f>
        <v>1048.0089</v>
      </c>
      <c r="H294" s="14">
        <f>463.37184*E294*F294</f>
        <v>463.37184000000002</v>
      </c>
      <c r="I294" s="14">
        <f t="shared" si="54"/>
        <v>0</v>
      </c>
      <c r="J294" s="14">
        <f>997.7044728*E294*F294</f>
        <v>997.70447279999996</v>
      </c>
      <c r="K294" s="14">
        <f>263.453947344*E294*F294</f>
        <v>263.45394734400003</v>
      </c>
      <c r="L294" s="14">
        <f>209.60178*E294*F294</f>
        <v>209.60177999999999</v>
      </c>
      <c r="M294" s="14">
        <f t="shared" si="55"/>
        <v>2982.1409401440001</v>
      </c>
      <c r="N294" s="18">
        <f>IF(N273&gt;0,(M294/$N$273/12),0)</f>
        <v>0.54024292393913043</v>
      </c>
    </row>
    <row r="295" spans="2:14">
      <c r="B295" s="9">
        <v>21</v>
      </c>
      <c r="C295" s="7" t="s">
        <v>31</v>
      </c>
      <c r="D295" s="7" t="s">
        <v>30</v>
      </c>
      <c r="E295" s="11">
        <v>1</v>
      </c>
      <c r="F295" s="11">
        <v>1</v>
      </c>
      <c r="G295" s="14">
        <f>419.20356*E295*F295</f>
        <v>419.20355999999998</v>
      </c>
      <c r="H295" s="14">
        <f>0*E295*F295</f>
        <v>0</v>
      </c>
      <c r="I295" s="14">
        <f t="shared" si="54"/>
        <v>0</v>
      </c>
      <c r="J295" s="14">
        <f>399.08178912*E295*F295</f>
        <v>399.08178912</v>
      </c>
      <c r="K295" s="14">
        <f>85.9199616576*E295*F295</f>
        <v>85.919961657599998</v>
      </c>
      <c r="L295" s="14">
        <f>83.840712*E295*F295</f>
        <v>83.840711999999996</v>
      </c>
      <c r="M295" s="14">
        <f t="shared" si="55"/>
        <v>988.0460227776</v>
      </c>
      <c r="N295" s="18">
        <f>IF(N273&gt;0,(M295/$N$273/12),0)</f>
        <v>0.17899384470608695</v>
      </c>
    </row>
    <row r="296" spans="2:14">
      <c r="B296" s="9">
        <v>22</v>
      </c>
      <c r="C296" s="7" t="s">
        <v>32</v>
      </c>
      <c r="D296" s="7" t="s">
        <v>33</v>
      </c>
      <c r="E296" s="11">
        <v>1</v>
      </c>
      <c r="F296" s="11">
        <v>1</v>
      </c>
      <c r="G296" s="14">
        <f>59.904400011784*E296*F296</f>
        <v>59.904400011783999</v>
      </c>
      <c r="H296" s="14">
        <f>0*E296*F296</f>
        <v>0</v>
      </c>
      <c r="I296" s="14">
        <f t="shared" si="54"/>
        <v>0</v>
      </c>
      <c r="J296" s="14">
        <f>57.028988811219*E296*F296</f>
        <v>57.028988811219001</v>
      </c>
      <c r="K296" s="14">
        <f>12.278005826415*E296*F296</f>
        <v>12.278005826415001</v>
      </c>
      <c r="L296" s="14">
        <f>11.980880002357*E296*F296</f>
        <v>11.980880002357001</v>
      </c>
      <c r="M296" s="14">
        <f t="shared" si="55"/>
        <v>141.19227465177499</v>
      </c>
      <c r="N296" s="18">
        <f>IF(N273&gt;0,(M296/$N$273/12),0)</f>
        <v>2.5578310625321555E-2</v>
      </c>
    </row>
    <row r="297" spans="2:14" ht="84">
      <c r="B297" s="9">
        <v>23</v>
      </c>
      <c r="C297" s="7" t="s">
        <v>135</v>
      </c>
      <c r="D297" s="7" t="s">
        <v>60</v>
      </c>
      <c r="E297" s="11">
        <v>0.46</v>
      </c>
      <c r="F297" s="11">
        <v>3</v>
      </c>
      <c r="G297" s="14">
        <f>3141.0470322*E297*F297</f>
        <v>4334.6449044360006</v>
      </c>
      <c r="H297" s="14">
        <f>0*E297*F297</f>
        <v>0</v>
      </c>
      <c r="I297" s="14">
        <f t="shared" si="54"/>
        <v>0</v>
      </c>
      <c r="J297" s="14">
        <f>2990.2767746544*E297*F297</f>
        <v>4126.5819490230724</v>
      </c>
      <c r="K297" s="14">
        <f>643.78899971971*E297*F297</f>
        <v>888.42881961319995</v>
      </c>
      <c r="L297" s="14">
        <f>628.20940644*E297*F297</f>
        <v>866.92898088719994</v>
      </c>
      <c r="M297" s="14">
        <f t="shared" si="55"/>
        <v>10216.584653959473</v>
      </c>
      <c r="N297" s="18">
        <f>IF(N273&gt;0,(M297/$N$273/12),0)</f>
        <v>1.8508305532535276</v>
      </c>
    </row>
    <row r="298" spans="2:14" ht="20.100000000000001" customHeight="1">
      <c r="B298" s="46" t="s">
        <v>43</v>
      </c>
      <c r="C298" s="47"/>
      <c r="D298" s="47"/>
      <c r="E298" s="47"/>
      <c r="F298" s="47"/>
      <c r="G298" s="15">
        <f t="shared" ref="G298:N298" si="57">SUM(G275:G297)</f>
        <v>19751.571403755632</v>
      </c>
      <c r="H298" s="15">
        <f t="shared" si="57"/>
        <v>3507.0079518334205</v>
      </c>
      <c r="I298" s="15">
        <f t="shared" si="57"/>
        <v>0</v>
      </c>
      <c r="J298" s="15">
        <f t="shared" si="57"/>
        <v>18803.495976375361</v>
      </c>
      <c r="K298" s="15">
        <f t="shared" si="57"/>
        <v>4416.5179098562412</v>
      </c>
      <c r="L298" s="15">
        <f t="shared" si="57"/>
        <v>3950.3142807511263</v>
      </c>
      <c r="M298" s="15">
        <f t="shared" si="57"/>
        <v>50428.90752257179</v>
      </c>
      <c r="N298" s="19">
        <f t="shared" si="57"/>
        <v>9.1356716526398145</v>
      </c>
    </row>
    <row r="299" spans="2:14" ht="21.95" customHeight="1">
      <c r="B299" s="42" t="s">
        <v>44</v>
      </c>
      <c r="C299" s="43"/>
      <c r="D299" s="43"/>
      <c r="E299" s="43"/>
      <c r="F299" s="43"/>
      <c r="G299" s="44"/>
      <c r="H299" s="44"/>
      <c r="I299" s="44"/>
      <c r="J299" s="44"/>
      <c r="K299" s="44"/>
      <c r="L299" s="44"/>
      <c r="M299" s="44"/>
      <c r="N299" s="45"/>
    </row>
    <row r="300" spans="2:14" ht="36">
      <c r="B300" s="8">
        <v>24</v>
      </c>
      <c r="C300" s="6" t="s">
        <v>61</v>
      </c>
      <c r="D300" s="6" t="s">
        <v>62</v>
      </c>
      <c r="E300" s="10">
        <v>0.4</v>
      </c>
      <c r="F300" s="10">
        <v>52</v>
      </c>
      <c r="G300" s="13">
        <f>188.49226515*E300*F300</f>
        <v>3920.6391151200005</v>
      </c>
      <c r="H300" s="13">
        <f>0*E300*F300</f>
        <v>0</v>
      </c>
      <c r="I300" s="13">
        <f t="shared" ref="I300:I312" si="58">0*E300*F300</f>
        <v>0</v>
      </c>
      <c r="J300" s="13">
        <f>179.4446364228*E300*F300</f>
        <v>3732.4484375942397</v>
      </c>
      <c r="K300" s="13">
        <f>38.633374665144*E300*F300</f>
        <v>803.57419303499523</v>
      </c>
      <c r="L300" s="13">
        <f>37.69845303*E300*F300</f>
        <v>784.12782302400001</v>
      </c>
      <c r="M300" s="13">
        <f t="shared" ref="M300:M312" si="59">SUM(G300:L300)</f>
        <v>9240.7895687732362</v>
      </c>
      <c r="N300" s="17">
        <f>IF(N273&gt;0,(M300/$N$273/12),0)</f>
        <v>1.6740560812994991</v>
      </c>
    </row>
    <row r="301" spans="2:14" ht="24">
      <c r="B301" s="9">
        <v>25</v>
      </c>
      <c r="C301" s="7" t="s">
        <v>63</v>
      </c>
      <c r="D301" s="7" t="s">
        <v>64</v>
      </c>
      <c r="E301" s="11">
        <v>0.4</v>
      </c>
      <c r="F301" s="11">
        <v>52</v>
      </c>
      <c r="G301" s="14">
        <f>431.4421125*E301*F301</f>
        <v>8973.9959400000007</v>
      </c>
      <c r="H301" s="14">
        <f>65.18338*E301*F301</f>
        <v>1355.814304</v>
      </c>
      <c r="I301" s="14">
        <f t="shared" si="58"/>
        <v>0</v>
      </c>
      <c r="J301" s="14">
        <f>410.7328911*E301*F301</f>
        <v>8543.2441348800003</v>
      </c>
      <c r="K301" s="14">
        <f>95.272630278*E301*F301</f>
        <v>1981.6707097824001</v>
      </c>
      <c r="L301" s="14">
        <f>86.2884225*E301*F301</f>
        <v>1794.799188</v>
      </c>
      <c r="M301" s="14">
        <f t="shared" si="59"/>
        <v>22649.5242766624</v>
      </c>
      <c r="N301" s="18">
        <f>IF(N273&gt;0,(M301/$N$273/12),0)</f>
        <v>4.1031746878011592</v>
      </c>
    </row>
    <row r="302" spans="2:14" ht="24">
      <c r="B302" s="9">
        <v>26</v>
      </c>
      <c r="C302" s="7" t="s">
        <v>100</v>
      </c>
      <c r="D302" s="7" t="s">
        <v>46</v>
      </c>
      <c r="E302" s="11">
        <v>0.5</v>
      </c>
      <c r="F302" s="11">
        <v>1</v>
      </c>
      <c r="G302" s="14">
        <f>441.825*E302*F302</f>
        <v>220.91249999999999</v>
      </c>
      <c r="H302" s="14">
        <f>2.34657845*E302*F302</f>
        <v>1.173289225</v>
      </c>
      <c r="I302" s="14">
        <f t="shared" si="58"/>
        <v>0</v>
      </c>
      <c r="J302" s="14">
        <f>420.6174*E302*F302</f>
        <v>210.30869999999999</v>
      </c>
      <c r="K302" s="14">
        <f>90.80284273725*E302*F302</f>
        <v>45.401421368625002</v>
      </c>
      <c r="L302" s="14">
        <f>88.365*E302*F302</f>
        <v>44.182499999999997</v>
      </c>
      <c r="M302" s="14">
        <f t="shared" si="59"/>
        <v>521.97841059362497</v>
      </c>
      <c r="N302" s="18">
        <f>IF(N273&gt;0,(M302/$N$273/12),0)</f>
        <v>9.4561306266961034E-2</v>
      </c>
    </row>
    <row r="303" spans="2:14">
      <c r="B303" s="9">
        <v>27</v>
      </c>
      <c r="C303" s="7" t="s">
        <v>101</v>
      </c>
      <c r="D303" s="7" t="s">
        <v>102</v>
      </c>
      <c r="E303" s="11">
        <v>0.2</v>
      </c>
      <c r="F303" s="11">
        <v>1</v>
      </c>
      <c r="G303" s="14">
        <f>406.479*E303*F303</f>
        <v>81.2958</v>
      </c>
      <c r="H303" s="14">
        <f>1.479364675*E303*F303</f>
        <v>0.295872935</v>
      </c>
      <c r="I303" s="14">
        <f t="shared" si="58"/>
        <v>0</v>
      </c>
      <c r="J303" s="14">
        <f>386.968008*E303*F303</f>
        <v>77.393601600000011</v>
      </c>
      <c r="K303" s="14">
        <f>83.467269130875*E303*F303</f>
        <v>16.693453826174999</v>
      </c>
      <c r="L303" s="14">
        <f>81.2958*E303*F303</f>
        <v>16.259160000000001</v>
      </c>
      <c r="M303" s="14">
        <f t="shared" si="59"/>
        <v>191.93788836117503</v>
      </c>
      <c r="N303" s="18">
        <f>IF(N273&gt;0,(M303/$N$273/12),0)</f>
        <v>3.4771356587169393E-2</v>
      </c>
    </row>
    <row r="304" spans="2:14">
      <c r="B304" s="9">
        <v>28</v>
      </c>
      <c r="C304" s="7" t="s">
        <v>103</v>
      </c>
      <c r="D304" s="7" t="s">
        <v>104</v>
      </c>
      <c r="E304" s="11">
        <v>1</v>
      </c>
      <c r="F304" s="11">
        <v>1</v>
      </c>
      <c r="G304" s="14">
        <f>19.75046115*E304*F304</f>
        <v>19.75046115</v>
      </c>
      <c r="H304" s="14">
        <f>1011.0145248*E304*F304</f>
        <v>1011.0145248</v>
      </c>
      <c r="I304" s="14">
        <f t="shared" si="58"/>
        <v>0</v>
      </c>
      <c r="J304" s="14">
        <f>18.8024390148*E304*F304</f>
        <v>18.802439014800001</v>
      </c>
      <c r="K304" s="14">
        <f>110.2045796213*E304*F304</f>
        <v>110.2045796213</v>
      </c>
      <c r="L304" s="14">
        <f>3.95009223*E304*F304</f>
        <v>3.9500922300000001</v>
      </c>
      <c r="M304" s="14">
        <f t="shared" si="59"/>
        <v>1163.7220968161</v>
      </c>
      <c r="N304" s="18">
        <f>IF(N273&gt;0,(M304/$N$273/12),0)</f>
        <v>0.2108192204376993</v>
      </c>
    </row>
    <row r="305" spans="2:14">
      <c r="B305" s="9">
        <v>29</v>
      </c>
      <c r="C305" s="7" t="s">
        <v>105</v>
      </c>
      <c r="D305" s="7" t="s">
        <v>106</v>
      </c>
      <c r="E305" s="11">
        <v>1</v>
      </c>
      <c r="F305" s="11">
        <v>1</v>
      </c>
      <c r="G305" s="14">
        <f>7.86006675*E305*F305</f>
        <v>7.8600667499999997</v>
      </c>
      <c r="H305" s="14">
        <f t="shared" ref="H305:H311" si="60">0*E305*F305</f>
        <v>0</v>
      </c>
      <c r="I305" s="14">
        <f t="shared" si="58"/>
        <v>0</v>
      </c>
      <c r="J305" s="14">
        <f>7.482783546*E305*F305</f>
        <v>7.4827835460000003</v>
      </c>
      <c r="K305" s="14">
        <f>1.61099928108*E305*F305</f>
        <v>1.61099928108</v>
      </c>
      <c r="L305" s="14">
        <f>1.57201335*E305*F305</f>
        <v>1.57201335</v>
      </c>
      <c r="M305" s="14">
        <f t="shared" si="59"/>
        <v>18.525862927079999</v>
      </c>
      <c r="N305" s="18">
        <f>IF(N273&gt;0,(M305/$N$273/12),0)</f>
        <v>3.3561345882391299E-3</v>
      </c>
    </row>
    <row r="306" spans="2:14" ht="36">
      <c r="B306" s="9">
        <v>30</v>
      </c>
      <c r="C306" s="7" t="s">
        <v>49</v>
      </c>
      <c r="D306" s="7" t="s">
        <v>50</v>
      </c>
      <c r="E306" s="11">
        <v>0.05</v>
      </c>
      <c r="F306" s="11">
        <v>52</v>
      </c>
      <c r="G306" s="14">
        <f>7364.3391*E306*F306</f>
        <v>19147.281660000001</v>
      </c>
      <c r="H306" s="14">
        <f t="shared" si="60"/>
        <v>0</v>
      </c>
      <c r="I306" s="14">
        <f t="shared" si="58"/>
        <v>0</v>
      </c>
      <c r="J306" s="14">
        <f>7010.8508232*E306*F306</f>
        <v>18228.212140320004</v>
      </c>
      <c r="K306" s="14">
        <f>1509.394941936*E306*F306</f>
        <v>3924.4268490335994</v>
      </c>
      <c r="L306" s="14">
        <f>1472.86782*E306*F306</f>
        <v>3829.4563319999997</v>
      </c>
      <c r="M306" s="14">
        <f t="shared" si="59"/>
        <v>45129.376981353606</v>
      </c>
      <c r="N306" s="18">
        <f>IF(N273&gt;0,(M306/$N$273/12),0)</f>
        <v>8.1756117719843484</v>
      </c>
    </row>
    <row r="307" spans="2:14">
      <c r="B307" s="9">
        <v>31</v>
      </c>
      <c r="C307" s="7" t="s">
        <v>107</v>
      </c>
      <c r="D307" s="7" t="s">
        <v>108</v>
      </c>
      <c r="E307" s="11">
        <v>1</v>
      </c>
      <c r="F307" s="11">
        <v>1</v>
      </c>
      <c r="G307" s="14">
        <f>18.02646*E307*F307</f>
        <v>18.02646</v>
      </c>
      <c r="H307" s="14">
        <f t="shared" si="60"/>
        <v>0</v>
      </c>
      <c r="I307" s="14">
        <f t="shared" si="58"/>
        <v>0</v>
      </c>
      <c r="J307" s="14">
        <f>17.16118992*E307*F307</f>
        <v>17.161189920000002</v>
      </c>
      <c r="K307" s="14">
        <f>3.6947032416*E307*F307</f>
        <v>3.6947032416000001</v>
      </c>
      <c r="L307" s="14">
        <f>3.605292*E307*F307</f>
        <v>3.6052919999999999</v>
      </c>
      <c r="M307" s="14">
        <f t="shared" si="59"/>
        <v>42.4876451616</v>
      </c>
      <c r="N307" s="18">
        <f>IF(N273&gt;0,(M307/$N$273/12),0)</f>
        <v>7.6970371669565218E-3</v>
      </c>
    </row>
    <row r="308" spans="2:14" ht="24">
      <c r="B308" s="9">
        <v>32</v>
      </c>
      <c r="C308" s="7" t="s">
        <v>109</v>
      </c>
      <c r="D308" s="7" t="s">
        <v>52</v>
      </c>
      <c r="E308" s="11">
        <v>3</v>
      </c>
      <c r="F308" s="11">
        <v>1</v>
      </c>
      <c r="G308" s="14">
        <f>477.171*E308*F308</f>
        <v>1431.5129999999999</v>
      </c>
      <c r="H308" s="14">
        <f t="shared" si="60"/>
        <v>0</v>
      </c>
      <c r="I308" s="14">
        <f t="shared" si="58"/>
        <v>0</v>
      </c>
      <c r="J308" s="14">
        <f>454.266792*E308*F308</f>
        <v>1362.8003760000001</v>
      </c>
      <c r="K308" s="14">
        <f>97.80096816*E308*F308</f>
        <v>293.40290447999996</v>
      </c>
      <c r="L308" s="14">
        <f>95.4342*E308*F308</f>
        <v>286.30259999999998</v>
      </c>
      <c r="M308" s="14">
        <f t="shared" si="59"/>
        <v>3374.01888048</v>
      </c>
      <c r="N308" s="18">
        <f>IF(N273&gt;0,(M308/$N$273/12),0)</f>
        <v>0.61123530443478258</v>
      </c>
    </row>
    <row r="309" spans="2:14">
      <c r="B309" s="9">
        <v>33</v>
      </c>
      <c r="C309" s="7" t="s">
        <v>53</v>
      </c>
      <c r="D309" s="7" t="s">
        <v>54</v>
      </c>
      <c r="E309" s="11">
        <v>3</v>
      </c>
      <c r="F309" s="11">
        <v>1</v>
      </c>
      <c r="G309" s="14">
        <f>212.076*E309*F309</f>
        <v>636.22799999999995</v>
      </c>
      <c r="H309" s="14">
        <f t="shared" si="60"/>
        <v>0</v>
      </c>
      <c r="I309" s="14">
        <f t="shared" si="58"/>
        <v>0</v>
      </c>
      <c r="J309" s="14">
        <f>201.896352*E309*F309</f>
        <v>605.68905600000005</v>
      </c>
      <c r="K309" s="14">
        <f>43.46709696*E309*F309</f>
        <v>130.40129088</v>
      </c>
      <c r="L309" s="14">
        <f>42.4152*E309*F309</f>
        <v>127.2456</v>
      </c>
      <c r="M309" s="14">
        <f t="shared" si="59"/>
        <v>1499.56394688</v>
      </c>
      <c r="N309" s="18">
        <f>IF(N273&gt;0,(M309/$N$273/12),0)</f>
        <v>0.27166013530434779</v>
      </c>
    </row>
    <row r="310" spans="2:14" ht="24">
      <c r="B310" s="9">
        <v>34</v>
      </c>
      <c r="C310" s="7" t="s">
        <v>110</v>
      </c>
      <c r="D310" s="7" t="s">
        <v>111</v>
      </c>
      <c r="E310" s="11">
        <v>0.2</v>
      </c>
      <c r="F310" s="11">
        <v>1</v>
      </c>
      <c r="G310" s="14">
        <f>243.8874*E310*F310</f>
        <v>48.777480000000004</v>
      </c>
      <c r="H310" s="14">
        <f t="shared" si="60"/>
        <v>0</v>
      </c>
      <c r="I310" s="14">
        <f t="shared" si="58"/>
        <v>0</v>
      </c>
      <c r="J310" s="14">
        <f>232.1808048*E310*F310</f>
        <v>46.436160960000002</v>
      </c>
      <c r="K310" s="14">
        <f>49.987161504*E310*F310</f>
        <v>9.9974323007999999</v>
      </c>
      <c r="L310" s="14">
        <f>48.77748*E310*F310</f>
        <v>9.7554960000000008</v>
      </c>
      <c r="M310" s="14">
        <f t="shared" si="59"/>
        <v>114.96656926080001</v>
      </c>
      <c r="N310" s="18">
        <f>IF(N273&gt;0,(M310/$N$273/12),0)</f>
        <v>2.0827277040000002E-2</v>
      </c>
    </row>
    <row r="311" spans="2:14">
      <c r="B311" s="9">
        <v>35</v>
      </c>
      <c r="C311" s="7" t="s">
        <v>112</v>
      </c>
      <c r="D311" s="7" t="s">
        <v>111</v>
      </c>
      <c r="E311" s="11">
        <v>0.12</v>
      </c>
      <c r="F311" s="11">
        <v>1</v>
      </c>
      <c r="G311" s="14">
        <f>1060.38*E311*F311</f>
        <v>127.24560000000001</v>
      </c>
      <c r="H311" s="14">
        <f t="shared" si="60"/>
        <v>0</v>
      </c>
      <c r="I311" s="14">
        <f t="shared" si="58"/>
        <v>0</v>
      </c>
      <c r="J311" s="14">
        <f>1009.48176*E311*F311</f>
        <v>121.1378112</v>
      </c>
      <c r="K311" s="14">
        <f>217.3354848*E311*F311</f>
        <v>26.080258175999997</v>
      </c>
      <c r="L311" s="14">
        <f>212.076*E311*F311</f>
        <v>25.449119999999997</v>
      </c>
      <c r="M311" s="14">
        <f t="shared" si="59"/>
        <v>299.91278937599998</v>
      </c>
      <c r="N311" s="18">
        <f>IF(N273&gt;0,(M311/$N$273/12),0)</f>
        <v>5.4332027060869564E-2</v>
      </c>
    </row>
    <row r="312" spans="2:14">
      <c r="B312" s="9">
        <v>36</v>
      </c>
      <c r="C312" s="7" t="s">
        <v>113</v>
      </c>
      <c r="D312" s="7" t="s">
        <v>114</v>
      </c>
      <c r="E312" s="11">
        <v>0.12</v>
      </c>
      <c r="F312" s="11">
        <v>1</v>
      </c>
      <c r="G312" s="14">
        <f>429.4539*E312*F312</f>
        <v>51.534467999999997</v>
      </c>
      <c r="H312" s="14">
        <f>2.295565875*E312*F312</f>
        <v>0.27546790499999996</v>
      </c>
      <c r="I312" s="14">
        <f t="shared" si="58"/>
        <v>0</v>
      </c>
      <c r="J312" s="14">
        <f>408.8401128*E312*F312</f>
        <v>49.060813535999998</v>
      </c>
      <c r="K312" s="14">
        <f>88.261905760875*E312*F312</f>
        <v>10.591428691305</v>
      </c>
      <c r="L312" s="14">
        <f>85.89078*E312*F312</f>
        <v>10.3068936</v>
      </c>
      <c r="M312" s="14">
        <f t="shared" si="59"/>
        <v>121.76907173230498</v>
      </c>
      <c r="N312" s="18">
        <f>IF(N273&gt;0,(M312/$N$273/12),0)</f>
        <v>2.2059614444258149E-2</v>
      </c>
    </row>
    <row r="313" spans="2:14" ht="12.75">
      <c r="B313" s="46" t="s">
        <v>43</v>
      </c>
      <c r="C313" s="47"/>
      <c r="D313" s="47"/>
      <c r="E313" s="47"/>
      <c r="F313" s="47"/>
      <c r="G313" s="15">
        <f t="shared" ref="G313:N313" si="61">SUM(G300:G312)</f>
        <v>34685.060551020004</v>
      </c>
      <c r="H313" s="15">
        <f t="shared" si="61"/>
        <v>2368.5734588649998</v>
      </c>
      <c r="I313" s="15">
        <f t="shared" si="61"/>
        <v>0</v>
      </c>
      <c r="J313" s="15">
        <f t="shared" si="61"/>
        <v>33020.177644571049</v>
      </c>
      <c r="K313" s="15">
        <f t="shared" si="61"/>
        <v>7357.7502237178787</v>
      </c>
      <c r="L313" s="15">
        <f t="shared" si="61"/>
        <v>6937.0121102039993</v>
      </c>
      <c r="M313" s="15">
        <f t="shared" si="61"/>
        <v>84368.573988377902</v>
      </c>
      <c r="N313" s="19">
        <f t="shared" si="61"/>
        <v>15.284161954416289</v>
      </c>
    </row>
    <row r="314" spans="2:14" ht="27.95" customHeight="1">
      <c r="B314" s="48" t="s">
        <v>55</v>
      </c>
      <c r="C314" s="49"/>
      <c r="D314" s="49"/>
      <c r="E314" s="49"/>
      <c r="F314" s="49"/>
      <c r="G314" s="20">
        <f t="shared" ref="G314:N314" si="62">G298+G313</f>
        <v>54436.631954775636</v>
      </c>
      <c r="H314" s="20">
        <f t="shared" si="62"/>
        <v>5875.5814106984199</v>
      </c>
      <c r="I314" s="20">
        <f t="shared" si="62"/>
        <v>0</v>
      </c>
      <c r="J314" s="20">
        <f t="shared" si="62"/>
        <v>51823.673620946414</v>
      </c>
      <c r="K314" s="20">
        <f t="shared" si="62"/>
        <v>11774.26813357412</v>
      </c>
      <c r="L314" s="20">
        <f t="shared" si="62"/>
        <v>10887.326390955126</v>
      </c>
      <c r="M314" s="20">
        <f t="shared" si="62"/>
        <v>134797.4815109497</v>
      </c>
      <c r="N314" s="21">
        <f t="shared" si="62"/>
        <v>24.419833607056106</v>
      </c>
    </row>
    <row r="318" spans="2:14" ht="18">
      <c r="C318" s="50" t="s">
        <v>136</v>
      </c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spans="2:14" ht="20.100000000000001" customHeight="1">
      <c r="C319" s="39" t="s">
        <v>137</v>
      </c>
      <c r="D319" s="40"/>
      <c r="E319" s="41">
        <f>G30+G50+G77+G124+G175+G228+G272+G314</f>
        <v>513140.58010270464</v>
      </c>
      <c r="F319" s="40"/>
      <c r="G319" s="39" t="s">
        <v>138</v>
      </c>
      <c r="H319" s="40"/>
      <c r="I319" s="40"/>
      <c r="J319" s="41">
        <f>J30+J50+J77+J124+J175+J228+J272+J314</f>
        <v>488509.83225777483</v>
      </c>
      <c r="K319" s="40"/>
    </row>
    <row r="320" spans="2:14" ht="20.100000000000001" customHeight="1">
      <c r="C320" s="39" t="s">
        <v>139</v>
      </c>
      <c r="D320" s="40"/>
      <c r="E320" s="41">
        <f>H30+H50+H77+H124+H175+H228+H272+H314</f>
        <v>37481.384111297484</v>
      </c>
      <c r="F320" s="40"/>
      <c r="G320" s="39" t="s">
        <v>140</v>
      </c>
      <c r="H320" s="40"/>
      <c r="I320" s="40"/>
      <c r="J320" s="41">
        <f>K30+K50+K77+K124+K175+K228+K272+K314</f>
        <v>109108.83862953651</v>
      </c>
      <c r="K320" s="40"/>
    </row>
    <row r="321" spans="3:11" ht="20.100000000000001" customHeight="1">
      <c r="C321" s="39" t="s">
        <v>141</v>
      </c>
      <c r="D321" s="40"/>
      <c r="E321" s="41">
        <f>I30+I50+I77+I124+I175+I228+I272+I314</f>
        <v>0</v>
      </c>
      <c r="F321" s="40"/>
      <c r="G321" s="39" t="s">
        <v>142</v>
      </c>
      <c r="H321" s="40"/>
      <c r="I321" s="40"/>
      <c r="J321" s="41">
        <f>L30+L50+L77+L124+L175+L228+L272+L314</f>
        <v>102628.11602054093</v>
      </c>
      <c r="K321" s="40"/>
    </row>
    <row r="322" spans="3:11" ht="15">
      <c r="C322" s="5"/>
      <c r="E322" s="27"/>
      <c r="G322" s="39" t="s">
        <v>143</v>
      </c>
      <c r="H322" s="40"/>
      <c r="I322" s="40"/>
      <c r="J322" s="41">
        <f>M30+M50+M77+M124+M175+M228+M272+M314</f>
        <v>1250868.7511218544</v>
      </c>
      <c r="K322" s="40"/>
    </row>
  </sheetData>
  <sheetProtection formatCells="0" formatColumns="0" formatRows="0" insertColumns="0" insertRows="0" insertHyperlinks="0" deleteColumns="0" deleteRows="0" sort="0" autoFilter="0" pivotTables="0"/>
  <mergeCells count="72">
    <mergeCell ref="B23:N23"/>
    <mergeCell ref="B1:M1"/>
    <mergeCell ref="B4:K4"/>
    <mergeCell ref="L4:M4"/>
    <mergeCell ref="B5:N5"/>
    <mergeCell ref="B22:F22"/>
    <mergeCell ref="B52:N52"/>
    <mergeCell ref="B29:F29"/>
    <mergeCell ref="B30:F30"/>
    <mergeCell ref="B31:K31"/>
    <mergeCell ref="L31:M31"/>
    <mergeCell ref="B32:N32"/>
    <mergeCell ref="B42:F42"/>
    <mergeCell ref="B43:N43"/>
    <mergeCell ref="B49:F49"/>
    <mergeCell ref="B50:F50"/>
    <mergeCell ref="B51:K51"/>
    <mergeCell ref="L51:M51"/>
    <mergeCell ref="B125:K125"/>
    <mergeCell ref="L125:M125"/>
    <mergeCell ref="B62:F62"/>
    <mergeCell ref="B63:N63"/>
    <mergeCell ref="B76:F76"/>
    <mergeCell ref="B77:F77"/>
    <mergeCell ref="B78:K78"/>
    <mergeCell ref="L78:M78"/>
    <mergeCell ref="B79:N79"/>
    <mergeCell ref="B108:F108"/>
    <mergeCell ref="B109:N109"/>
    <mergeCell ref="B123:F123"/>
    <mergeCell ref="B124:F124"/>
    <mergeCell ref="B229:K229"/>
    <mergeCell ref="L229:M229"/>
    <mergeCell ref="B126:N126"/>
    <mergeCell ref="B161:F161"/>
    <mergeCell ref="B162:N162"/>
    <mergeCell ref="B174:F174"/>
    <mergeCell ref="B175:F175"/>
    <mergeCell ref="B176:K176"/>
    <mergeCell ref="L176:M176"/>
    <mergeCell ref="B177:N177"/>
    <mergeCell ref="B212:F212"/>
    <mergeCell ref="B213:N213"/>
    <mergeCell ref="B227:F227"/>
    <mergeCell ref="B228:F228"/>
    <mergeCell ref="C318:N318"/>
    <mergeCell ref="B230:N230"/>
    <mergeCell ref="B259:F259"/>
    <mergeCell ref="B260:N260"/>
    <mergeCell ref="B271:F271"/>
    <mergeCell ref="B272:F272"/>
    <mergeCell ref="B273:K273"/>
    <mergeCell ref="L273:M273"/>
    <mergeCell ref="B274:N274"/>
    <mergeCell ref="B298:F298"/>
    <mergeCell ref="B299:N299"/>
    <mergeCell ref="B313:F313"/>
    <mergeCell ref="B314:F314"/>
    <mergeCell ref="C319:D319"/>
    <mergeCell ref="E319:F319"/>
    <mergeCell ref="G319:I319"/>
    <mergeCell ref="J319:K319"/>
    <mergeCell ref="C320:D320"/>
    <mergeCell ref="E320:F320"/>
    <mergeCell ref="G320:I320"/>
    <mergeCell ref="J320:K320"/>
    <mergeCell ref="C321:D321"/>
    <mergeCell ref="E321:F321"/>
    <mergeCell ref="G321:I321"/>
    <mergeCell ref="J321:K321"/>
    <mergeCell ref="G322:I322"/>
    <mergeCell ref="J322:K322"/>
  </mergeCells>
  <pageMargins left="0.35" right="0.35" top="0.35" bottom="0.35" header="0.3" footer="0.3"/>
  <pageSetup paperSize="9" scale="74" fitToHeight="0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Ruler="0" topLeftCell="B1" zoomScaleNormal="100" workbookViewId="0">
      <selection activeCell="B74" sqref="B74:G74"/>
    </sheetView>
  </sheetViews>
  <sheetFormatPr defaultRowHeight="12"/>
  <cols>
    <col min="1" max="1" width="0" hidden="1" customWidth="1"/>
    <col min="2" max="2" width="7" customWidth="1"/>
    <col min="3" max="3" width="60" customWidth="1"/>
    <col min="4" max="4" width="13" customWidth="1"/>
    <col min="5" max="5" width="11" customWidth="1"/>
    <col min="6" max="6" width="13" customWidth="1"/>
    <col min="7" max="7" width="15" customWidth="1"/>
  </cols>
  <sheetData>
    <row r="1" spans="1:7" ht="27.95" customHeight="1">
      <c r="B1" s="83" t="s">
        <v>144</v>
      </c>
      <c r="C1" s="83"/>
      <c r="D1" s="83"/>
      <c r="E1" s="83"/>
      <c r="F1" s="83"/>
      <c r="G1" s="83"/>
    </row>
    <row r="3" spans="1:7" ht="27">
      <c r="A3" s="28"/>
      <c r="B3" s="29" t="s">
        <v>1</v>
      </c>
      <c r="C3" s="29" t="s">
        <v>145</v>
      </c>
      <c r="D3" s="29" t="s">
        <v>146</v>
      </c>
      <c r="E3" s="29" t="s">
        <v>4</v>
      </c>
      <c r="F3" s="29" t="s">
        <v>147</v>
      </c>
      <c r="G3" s="30" t="s">
        <v>12</v>
      </c>
    </row>
    <row r="4" spans="1:7" ht="16.5">
      <c r="B4" s="84" t="s">
        <v>148</v>
      </c>
      <c r="C4" s="84"/>
      <c r="D4" s="84"/>
      <c r="E4" s="84"/>
      <c r="F4" s="84"/>
      <c r="G4" s="84"/>
    </row>
    <row r="5" spans="1:7">
      <c r="B5" s="31">
        <v>1</v>
      </c>
      <c r="C5" s="33" t="s">
        <v>149</v>
      </c>
      <c r="D5" s="33" t="s">
        <v>150</v>
      </c>
      <c r="E5" s="34">
        <v>5.827</v>
      </c>
      <c r="F5" s="35">
        <v>236.46474000000001</v>
      </c>
      <c r="G5" s="36">
        <f t="shared" ref="G5:G33" si="0">E5*F5</f>
        <v>1377.88003998</v>
      </c>
    </row>
    <row r="6" spans="1:7">
      <c r="B6" s="32">
        <v>2</v>
      </c>
      <c r="C6" s="7" t="s">
        <v>151</v>
      </c>
      <c r="D6" s="7" t="s">
        <v>150</v>
      </c>
      <c r="E6" s="12">
        <v>724.81119999999999</v>
      </c>
      <c r="F6" s="14">
        <v>176.73</v>
      </c>
      <c r="G6" s="37">
        <f t="shared" si="0"/>
        <v>128095.88337599998</v>
      </c>
    </row>
    <row r="7" spans="1:7">
      <c r="B7" s="32">
        <v>3</v>
      </c>
      <c r="C7" s="7" t="s">
        <v>152</v>
      </c>
      <c r="D7" s="7" t="s">
        <v>150</v>
      </c>
      <c r="E7" s="12">
        <v>3.5979999999999999</v>
      </c>
      <c r="F7" s="14">
        <v>209.60177999999999</v>
      </c>
      <c r="G7" s="37">
        <f t="shared" si="0"/>
        <v>754.14720443999988</v>
      </c>
    </row>
    <row r="8" spans="1:7">
      <c r="B8" s="32">
        <v>4</v>
      </c>
      <c r="C8" s="7" t="s">
        <v>153</v>
      </c>
      <c r="D8" s="7" t="s">
        <v>150</v>
      </c>
      <c r="E8" s="12">
        <v>24.776</v>
      </c>
      <c r="F8" s="14">
        <v>236.46474000000001</v>
      </c>
      <c r="G8" s="37">
        <f t="shared" si="0"/>
        <v>5858.65039824</v>
      </c>
    </row>
    <row r="9" spans="1:7">
      <c r="B9" s="32">
        <v>5</v>
      </c>
      <c r="C9" s="7" t="s">
        <v>154</v>
      </c>
      <c r="D9" s="7" t="s">
        <v>150</v>
      </c>
      <c r="E9" s="12">
        <v>22.769200000000001</v>
      </c>
      <c r="F9" s="14">
        <v>209.60177999999999</v>
      </c>
      <c r="G9" s="37">
        <f t="shared" si="0"/>
        <v>4772.4648491759999</v>
      </c>
    </row>
    <row r="10" spans="1:7" ht="24">
      <c r="B10" s="32">
        <v>6</v>
      </c>
      <c r="C10" s="7" t="s">
        <v>155</v>
      </c>
      <c r="D10" s="7" t="s">
        <v>150</v>
      </c>
      <c r="E10" s="12">
        <v>5.12</v>
      </c>
      <c r="F10" s="14">
        <v>236.46474000000001</v>
      </c>
      <c r="G10" s="37">
        <f t="shared" si="0"/>
        <v>1210.6994688</v>
      </c>
    </row>
    <row r="11" spans="1:7">
      <c r="B11" s="32">
        <v>7</v>
      </c>
      <c r="C11" s="7" t="s">
        <v>156</v>
      </c>
      <c r="D11" s="7" t="s">
        <v>150</v>
      </c>
      <c r="E11" s="12">
        <v>0.35833334999999999</v>
      </c>
      <c r="F11" s="14">
        <v>191.75204999999997</v>
      </c>
      <c r="G11" s="37">
        <f t="shared" si="0"/>
        <v>68.711154445867493</v>
      </c>
    </row>
    <row r="12" spans="1:7">
      <c r="B12" s="32">
        <v>8</v>
      </c>
      <c r="C12" s="7" t="s">
        <v>157</v>
      </c>
      <c r="D12" s="7" t="s">
        <v>150</v>
      </c>
      <c r="E12" s="12">
        <v>0.35833334999999999</v>
      </c>
      <c r="F12" s="14">
        <v>209.60177999999999</v>
      </c>
      <c r="G12" s="37">
        <f t="shared" si="0"/>
        <v>75.107307993362994</v>
      </c>
    </row>
    <row r="13" spans="1:7">
      <c r="B13" s="32">
        <v>9</v>
      </c>
      <c r="C13" s="7" t="s">
        <v>158</v>
      </c>
      <c r="D13" s="7" t="s">
        <v>150</v>
      </c>
      <c r="E13" s="12">
        <v>4.92</v>
      </c>
      <c r="F13" s="14">
        <v>236.46474000000001</v>
      </c>
      <c r="G13" s="37">
        <f t="shared" si="0"/>
        <v>1163.4065208</v>
      </c>
    </row>
    <row r="14" spans="1:7">
      <c r="B14" s="32">
        <v>10</v>
      </c>
      <c r="C14" s="7" t="s">
        <v>159</v>
      </c>
      <c r="D14" s="7" t="s">
        <v>150</v>
      </c>
      <c r="E14" s="12">
        <v>27.936</v>
      </c>
      <c r="F14" s="14">
        <v>236.46474000000001</v>
      </c>
      <c r="G14" s="37">
        <f t="shared" si="0"/>
        <v>6605.8789766400005</v>
      </c>
    </row>
    <row r="15" spans="1:7">
      <c r="B15" s="32">
        <v>11</v>
      </c>
      <c r="C15" s="7" t="s">
        <v>160</v>
      </c>
      <c r="D15" s="7" t="s">
        <v>150</v>
      </c>
      <c r="E15" s="12">
        <v>252.54</v>
      </c>
      <c r="F15" s="14">
        <v>176.73</v>
      </c>
      <c r="G15" s="37">
        <f t="shared" si="0"/>
        <v>44631.394199999995</v>
      </c>
    </row>
    <row r="16" spans="1:7" ht="24">
      <c r="B16" s="32">
        <v>12</v>
      </c>
      <c r="C16" s="7" t="s">
        <v>161</v>
      </c>
      <c r="D16" s="7" t="s">
        <v>150</v>
      </c>
      <c r="E16" s="12">
        <v>443.68856</v>
      </c>
      <c r="F16" s="14">
        <v>191.75204999999997</v>
      </c>
      <c r="G16" s="37">
        <f t="shared" si="0"/>
        <v>85078.190941547989</v>
      </c>
    </row>
    <row r="17" spans="2:7" ht="24">
      <c r="B17" s="32">
        <v>13</v>
      </c>
      <c r="C17" s="7" t="s">
        <v>162</v>
      </c>
      <c r="D17" s="7" t="s">
        <v>150</v>
      </c>
      <c r="E17" s="12">
        <v>0.1125</v>
      </c>
      <c r="F17" s="14">
        <v>209.60177999999999</v>
      </c>
      <c r="G17" s="37">
        <f t="shared" si="0"/>
        <v>23.580200250000001</v>
      </c>
    </row>
    <row r="18" spans="2:7" ht="24">
      <c r="B18" s="32">
        <v>14</v>
      </c>
      <c r="C18" s="7" t="s">
        <v>163</v>
      </c>
      <c r="D18" s="7" t="s">
        <v>150</v>
      </c>
      <c r="E18" s="12">
        <v>35.68</v>
      </c>
      <c r="F18" s="14">
        <v>236.46474000000001</v>
      </c>
      <c r="G18" s="37">
        <f t="shared" si="0"/>
        <v>8437.0619232000008</v>
      </c>
    </row>
    <row r="19" spans="2:7" ht="24">
      <c r="B19" s="32">
        <v>15</v>
      </c>
      <c r="C19" s="7" t="s">
        <v>164</v>
      </c>
      <c r="D19" s="7" t="s">
        <v>150</v>
      </c>
      <c r="E19" s="12">
        <v>39.46</v>
      </c>
      <c r="F19" s="14">
        <v>191.75204999999997</v>
      </c>
      <c r="G19" s="37">
        <f t="shared" si="0"/>
        <v>7566.5358929999993</v>
      </c>
    </row>
    <row r="20" spans="2:7" ht="24">
      <c r="B20" s="32">
        <v>16</v>
      </c>
      <c r="C20" s="7" t="s">
        <v>165</v>
      </c>
      <c r="D20" s="7" t="s">
        <v>150</v>
      </c>
      <c r="E20" s="12">
        <v>57.479599999999998</v>
      </c>
      <c r="F20" s="14">
        <v>236.46474000000001</v>
      </c>
      <c r="G20" s="37">
        <f t="shared" si="0"/>
        <v>13591.898669304001</v>
      </c>
    </row>
    <row r="21" spans="2:7">
      <c r="B21" s="32">
        <v>17</v>
      </c>
      <c r="C21" s="7" t="s">
        <v>166</v>
      </c>
      <c r="D21" s="7" t="s">
        <v>150</v>
      </c>
      <c r="E21" s="12">
        <v>53.076000000000001</v>
      </c>
      <c r="F21" s="14">
        <v>209.60177999999999</v>
      </c>
      <c r="G21" s="37">
        <f t="shared" si="0"/>
        <v>11124.824075279999</v>
      </c>
    </row>
    <row r="22" spans="2:7">
      <c r="B22" s="32">
        <v>18</v>
      </c>
      <c r="C22" s="7" t="s">
        <v>167</v>
      </c>
      <c r="D22" s="7" t="s">
        <v>150</v>
      </c>
      <c r="E22" s="12">
        <v>11.1</v>
      </c>
      <c r="F22" s="14">
        <v>191.75204999999997</v>
      </c>
      <c r="G22" s="37">
        <f t="shared" si="0"/>
        <v>2128.4477549999997</v>
      </c>
    </row>
    <row r="23" spans="2:7">
      <c r="B23" s="32">
        <v>19</v>
      </c>
      <c r="C23" s="7" t="s">
        <v>168</v>
      </c>
      <c r="D23" s="7" t="s">
        <v>150</v>
      </c>
      <c r="E23" s="12">
        <v>227.44399999999999</v>
      </c>
      <c r="F23" s="14">
        <v>209.60177999999999</v>
      </c>
      <c r="G23" s="37">
        <f t="shared" si="0"/>
        <v>47672.667250319995</v>
      </c>
    </row>
    <row r="24" spans="2:7">
      <c r="B24" s="32">
        <v>20</v>
      </c>
      <c r="C24" s="7" t="s">
        <v>169</v>
      </c>
      <c r="D24" s="7" t="s">
        <v>150</v>
      </c>
      <c r="E24" s="12">
        <v>333.37439999999998</v>
      </c>
      <c r="F24" s="14">
        <v>236.46474000000001</v>
      </c>
      <c r="G24" s="37">
        <f t="shared" si="0"/>
        <v>78831.290818655994</v>
      </c>
    </row>
    <row r="25" spans="2:7">
      <c r="B25" s="32">
        <v>21</v>
      </c>
      <c r="C25" s="7" t="s">
        <v>170</v>
      </c>
      <c r="D25" s="7" t="s">
        <v>150</v>
      </c>
      <c r="E25" s="12">
        <v>3.605</v>
      </c>
      <c r="F25" s="14">
        <v>272.51765999999998</v>
      </c>
      <c r="G25" s="37">
        <f t="shared" si="0"/>
        <v>982.42616429999987</v>
      </c>
    </row>
    <row r="26" spans="2:7">
      <c r="B26" s="32">
        <v>22</v>
      </c>
      <c r="C26" s="7" t="s">
        <v>171</v>
      </c>
      <c r="D26" s="7" t="s">
        <v>150</v>
      </c>
      <c r="E26" s="12">
        <v>3.605</v>
      </c>
      <c r="F26" s="14">
        <v>317.58380999999997</v>
      </c>
      <c r="G26" s="37">
        <f t="shared" si="0"/>
        <v>1144.8896350499999</v>
      </c>
    </row>
    <row r="27" spans="2:7">
      <c r="B27" s="32">
        <v>23</v>
      </c>
      <c r="C27" s="7" t="s">
        <v>172</v>
      </c>
      <c r="D27" s="7" t="s">
        <v>150</v>
      </c>
      <c r="E27" s="12">
        <v>5.75</v>
      </c>
      <c r="F27" s="14">
        <v>191.75204999999997</v>
      </c>
      <c r="G27" s="37">
        <f t="shared" si="0"/>
        <v>1102.5742874999999</v>
      </c>
    </row>
    <row r="28" spans="2:7">
      <c r="B28" s="32">
        <v>24</v>
      </c>
      <c r="C28" s="7" t="s">
        <v>173</v>
      </c>
      <c r="D28" s="7" t="s">
        <v>150</v>
      </c>
      <c r="E28" s="12">
        <v>5.75</v>
      </c>
      <c r="F28" s="14">
        <v>209.60177999999999</v>
      </c>
      <c r="G28" s="37">
        <f t="shared" si="0"/>
        <v>1205.210235</v>
      </c>
    </row>
    <row r="29" spans="2:7">
      <c r="B29" s="32">
        <v>25</v>
      </c>
      <c r="C29" s="7" t="s">
        <v>174</v>
      </c>
      <c r="D29" s="7" t="s">
        <v>150</v>
      </c>
      <c r="E29" s="12">
        <v>26.76</v>
      </c>
      <c r="F29" s="14">
        <v>236.46474000000001</v>
      </c>
      <c r="G29" s="37">
        <f t="shared" si="0"/>
        <v>6327.7964424000002</v>
      </c>
    </row>
    <row r="30" spans="2:7">
      <c r="B30" s="32">
        <v>26</v>
      </c>
      <c r="C30" s="7" t="s">
        <v>175</v>
      </c>
      <c r="D30" s="7" t="s">
        <v>150</v>
      </c>
      <c r="E30" s="12">
        <v>42.38</v>
      </c>
      <c r="F30" s="14">
        <v>236.46474000000001</v>
      </c>
      <c r="G30" s="37">
        <f t="shared" si="0"/>
        <v>10021.375681200001</v>
      </c>
    </row>
    <row r="31" spans="2:7" ht="24">
      <c r="B31" s="32">
        <v>27</v>
      </c>
      <c r="C31" s="7" t="s">
        <v>176</v>
      </c>
      <c r="D31" s="7" t="s">
        <v>177</v>
      </c>
      <c r="E31" s="12">
        <v>42.483600000000003</v>
      </c>
      <c r="F31" s="14">
        <v>272.51765999999998</v>
      </c>
      <c r="G31" s="37">
        <f t="shared" si="0"/>
        <v>11577.531260375999</v>
      </c>
    </row>
    <row r="32" spans="2:7" ht="24">
      <c r="B32" s="32">
        <v>28</v>
      </c>
      <c r="C32" s="7" t="s">
        <v>178</v>
      </c>
      <c r="D32" s="7" t="s">
        <v>150</v>
      </c>
      <c r="E32" s="12">
        <v>98</v>
      </c>
      <c r="F32" s="14">
        <v>209.60177999999999</v>
      </c>
      <c r="G32" s="37">
        <f t="shared" si="0"/>
        <v>20540.974439999998</v>
      </c>
    </row>
    <row r="33" spans="2:7" ht="24">
      <c r="B33" s="32">
        <v>29</v>
      </c>
      <c r="C33" s="7" t="s">
        <v>179</v>
      </c>
      <c r="D33" s="7" t="s">
        <v>150</v>
      </c>
      <c r="E33" s="12">
        <v>47.233599959999999</v>
      </c>
      <c r="F33" s="14">
        <v>236.46474000000001</v>
      </c>
      <c r="G33" s="37">
        <f t="shared" si="0"/>
        <v>11169.080933805411</v>
      </c>
    </row>
    <row r="34" spans="2:7">
      <c r="B34" s="80" t="s">
        <v>180</v>
      </c>
      <c r="C34" s="81"/>
      <c r="D34" s="81"/>
      <c r="E34" s="81"/>
      <c r="F34" s="82"/>
      <c r="G34" s="38">
        <f>SUM(G5:G33)</f>
        <v>513140.58010270458</v>
      </c>
    </row>
    <row r="35" spans="2:7" ht="16.5">
      <c r="B35" s="84" t="s">
        <v>181</v>
      </c>
      <c r="C35" s="84"/>
      <c r="D35" s="84"/>
      <c r="E35" s="84"/>
      <c r="F35" s="84"/>
      <c r="G35" s="84"/>
    </row>
    <row r="36" spans="2:7" ht="24">
      <c r="B36" s="31">
        <v>30</v>
      </c>
      <c r="C36" s="33" t="s">
        <v>182</v>
      </c>
      <c r="D36" s="33" t="s">
        <v>183</v>
      </c>
      <c r="E36" s="34">
        <v>3.0000000000000001E-3</v>
      </c>
      <c r="F36" s="35">
        <v>69757.397299999997</v>
      </c>
      <c r="G36" s="36">
        <f t="shared" ref="G36:G62" si="1">E36*F36</f>
        <v>209.2721919</v>
      </c>
    </row>
    <row r="37" spans="2:7">
      <c r="B37" s="32">
        <v>31</v>
      </c>
      <c r="C37" s="7" t="s">
        <v>184</v>
      </c>
      <c r="D37" s="7" t="s">
        <v>185</v>
      </c>
      <c r="E37" s="12">
        <v>54.209000000000003</v>
      </c>
      <c r="F37" s="14">
        <v>0</v>
      </c>
      <c r="G37" s="37">
        <f t="shared" si="1"/>
        <v>0</v>
      </c>
    </row>
    <row r="38" spans="2:7">
      <c r="B38" s="32">
        <v>32</v>
      </c>
      <c r="C38" s="7" t="s">
        <v>186</v>
      </c>
      <c r="D38" s="7" t="s">
        <v>187</v>
      </c>
      <c r="E38" s="12">
        <v>31.719799999999999</v>
      </c>
      <c r="F38" s="14">
        <v>253.66150000000002</v>
      </c>
      <c r="G38" s="37">
        <f t="shared" si="1"/>
        <v>8046.0920477</v>
      </c>
    </row>
    <row r="39" spans="2:7">
      <c r="B39" s="32">
        <v>33</v>
      </c>
      <c r="C39" s="7" t="s">
        <v>188</v>
      </c>
      <c r="D39" s="7" t="s">
        <v>189</v>
      </c>
      <c r="E39" s="12">
        <v>0.4</v>
      </c>
      <c r="F39" s="14">
        <v>63.024000000000001</v>
      </c>
      <c r="G39" s="37">
        <f t="shared" si="1"/>
        <v>25.209600000000002</v>
      </c>
    </row>
    <row r="40" spans="2:7">
      <c r="B40" s="32">
        <v>34</v>
      </c>
      <c r="C40" s="7" t="s">
        <v>190</v>
      </c>
      <c r="D40" s="7" t="s">
        <v>189</v>
      </c>
      <c r="E40" s="12">
        <v>0.6</v>
      </c>
      <c r="F40" s="14">
        <v>161.6</v>
      </c>
      <c r="G40" s="37">
        <f t="shared" si="1"/>
        <v>96.96</v>
      </c>
    </row>
    <row r="41" spans="2:7">
      <c r="B41" s="32">
        <v>35</v>
      </c>
      <c r="C41" s="7" t="s">
        <v>191</v>
      </c>
      <c r="D41" s="7" t="s">
        <v>189</v>
      </c>
      <c r="E41" s="12">
        <v>6.3</v>
      </c>
      <c r="F41" s="14">
        <v>295.52600000000001</v>
      </c>
      <c r="G41" s="37">
        <f t="shared" si="1"/>
        <v>1861.8137999999999</v>
      </c>
    </row>
    <row r="42" spans="2:7">
      <c r="B42" s="32">
        <v>36</v>
      </c>
      <c r="C42" s="7" t="s">
        <v>192</v>
      </c>
      <c r="D42" s="7" t="s">
        <v>189</v>
      </c>
      <c r="E42" s="12">
        <v>7.9</v>
      </c>
      <c r="F42" s="14">
        <v>209.8073</v>
      </c>
      <c r="G42" s="37">
        <f t="shared" si="1"/>
        <v>1657.47767</v>
      </c>
    </row>
    <row r="43" spans="2:7">
      <c r="B43" s="32">
        <v>37</v>
      </c>
      <c r="C43" s="7" t="s">
        <v>193</v>
      </c>
      <c r="D43" s="7" t="s">
        <v>183</v>
      </c>
      <c r="E43" s="12">
        <v>4.4999999999999997E-3</v>
      </c>
      <c r="F43" s="14">
        <v>37346.769999999997</v>
      </c>
      <c r="G43" s="37">
        <f t="shared" si="1"/>
        <v>168.06046499999997</v>
      </c>
    </row>
    <row r="44" spans="2:7">
      <c r="B44" s="32">
        <v>38</v>
      </c>
      <c r="C44" s="7" t="s">
        <v>194</v>
      </c>
      <c r="D44" s="7" t="s">
        <v>183</v>
      </c>
      <c r="E44" s="12">
        <v>2.575E-3</v>
      </c>
      <c r="F44" s="14">
        <v>49652.640299999999</v>
      </c>
      <c r="G44" s="37">
        <f t="shared" si="1"/>
        <v>127.8555487725</v>
      </c>
    </row>
    <row r="45" spans="2:7" ht="24">
      <c r="B45" s="32">
        <v>39</v>
      </c>
      <c r="C45" s="7" t="s">
        <v>195</v>
      </c>
      <c r="D45" s="7" t="s">
        <v>189</v>
      </c>
      <c r="E45" s="12">
        <v>2.8</v>
      </c>
      <c r="F45" s="14">
        <v>243.07669999999999</v>
      </c>
      <c r="G45" s="37">
        <f t="shared" si="1"/>
        <v>680.61475999999993</v>
      </c>
    </row>
    <row r="46" spans="2:7">
      <c r="B46" s="32">
        <v>40</v>
      </c>
      <c r="C46" s="7" t="s">
        <v>196</v>
      </c>
      <c r="D46" s="7" t="s">
        <v>189</v>
      </c>
      <c r="E46" s="12">
        <v>70</v>
      </c>
      <c r="F46" s="14">
        <v>82.951299999999989</v>
      </c>
      <c r="G46" s="37">
        <f t="shared" si="1"/>
        <v>5806.5909999999994</v>
      </c>
    </row>
    <row r="47" spans="2:7">
      <c r="B47" s="32">
        <v>41</v>
      </c>
      <c r="C47" s="7" t="s">
        <v>197</v>
      </c>
      <c r="D47" s="7" t="s">
        <v>198</v>
      </c>
      <c r="E47" s="12">
        <v>7.5522350000000002E-2</v>
      </c>
      <c r="F47" s="14">
        <v>5101.2574999999997</v>
      </c>
      <c r="G47" s="37">
        <f t="shared" si="1"/>
        <v>385.25895435512501</v>
      </c>
    </row>
    <row r="48" spans="2:7">
      <c r="B48" s="32">
        <v>42</v>
      </c>
      <c r="C48" s="7" t="s">
        <v>199</v>
      </c>
      <c r="D48" s="7" t="s">
        <v>189</v>
      </c>
      <c r="E48" s="12">
        <v>27.950024800000001</v>
      </c>
      <c r="F48" s="14">
        <v>206.16120000000001</v>
      </c>
      <c r="G48" s="37">
        <f t="shared" si="1"/>
        <v>5762.2106527977603</v>
      </c>
    </row>
    <row r="49" spans="2:7">
      <c r="B49" s="32">
        <v>43</v>
      </c>
      <c r="C49" s="7" t="s">
        <v>200</v>
      </c>
      <c r="D49" s="7" t="s">
        <v>183</v>
      </c>
      <c r="E49" s="12">
        <v>1.07E-3</v>
      </c>
      <c r="F49" s="14">
        <v>85747.636499999993</v>
      </c>
      <c r="G49" s="37">
        <f t="shared" si="1"/>
        <v>91.749971054999989</v>
      </c>
    </row>
    <row r="50" spans="2:7">
      <c r="B50" s="32">
        <v>44</v>
      </c>
      <c r="C50" s="7" t="s">
        <v>201</v>
      </c>
      <c r="D50" s="7" t="s">
        <v>189</v>
      </c>
      <c r="E50" s="12">
        <v>1.07</v>
      </c>
      <c r="F50" s="14">
        <v>145.14710000000002</v>
      </c>
      <c r="G50" s="37">
        <f t="shared" si="1"/>
        <v>155.30739700000004</v>
      </c>
    </row>
    <row r="51" spans="2:7">
      <c r="B51" s="32">
        <v>45</v>
      </c>
      <c r="C51" s="7" t="s">
        <v>202</v>
      </c>
      <c r="D51" s="7" t="s">
        <v>185</v>
      </c>
      <c r="E51" s="12">
        <v>2.9159999999999999</v>
      </c>
      <c r="F51" s="14">
        <v>1040.1383999999998</v>
      </c>
      <c r="G51" s="37">
        <f t="shared" si="1"/>
        <v>3033.0435743999992</v>
      </c>
    </row>
    <row r="52" spans="2:7">
      <c r="B52" s="32">
        <v>46</v>
      </c>
      <c r="C52" s="7" t="s">
        <v>203</v>
      </c>
      <c r="D52" s="7" t="s">
        <v>204</v>
      </c>
      <c r="E52" s="12">
        <v>5</v>
      </c>
      <c r="F52" s="14">
        <v>25.4419</v>
      </c>
      <c r="G52" s="37">
        <f t="shared" si="1"/>
        <v>127.20950000000001</v>
      </c>
    </row>
    <row r="53" spans="2:7">
      <c r="B53" s="32">
        <v>47</v>
      </c>
      <c r="C53" s="7" t="s">
        <v>205</v>
      </c>
      <c r="D53" s="7" t="s">
        <v>183</v>
      </c>
      <c r="E53" s="12">
        <v>3.9799999999999998E-5</v>
      </c>
      <c r="F53" s="14">
        <v>41376.882100000003</v>
      </c>
      <c r="G53" s="37">
        <f t="shared" si="1"/>
        <v>1.6467999075799999</v>
      </c>
    </row>
    <row r="54" spans="2:7" ht="24">
      <c r="B54" s="32">
        <v>48</v>
      </c>
      <c r="C54" s="7" t="s">
        <v>206</v>
      </c>
      <c r="D54" s="7" t="s">
        <v>183</v>
      </c>
      <c r="E54" s="12">
        <v>1.1081999999999999E-3</v>
      </c>
      <c r="F54" s="14">
        <v>49848.6005</v>
      </c>
      <c r="G54" s="37">
        <f t="shared" si="1"/>
        <v>55.242219074099999</v>
      </c>
    </row>
    <row r="55" spans="2:7">
      <c r="B55" s="32">
        <v>49</v>
      </c>
      <c r="C55" s="7" t="s">
        <v>207</v>
      </c>
      <c r="D55" s="7" t="s">
        <v>185</v>
      </c>
      <c r="E55" s="12">
        <v>0.04</v>
      </c>
      <c r="F55" s="14">
        <v>3171.0565999999999</v>
      </c>
      <c r="G55" s="37">
        <f t="shared" si="1"/>
        <v>126.842264</v>
      </c>
    </row>
    <row r="56" spans="2:7">
      <c r="B56" s="32">
        <v>50</v>
      </c>
      <c r="C56" s="7" t="s">
        <v>208</v>
      </c>
      <c r="D56" s="7" t="s">
        <v>189</v>
      </c>
      <c r="E56" s="12">
        <v>1.2</v>
      </c>
      <c r="F56" s="14">
        <v>122.8261</v>
      </c>
      <c r="G56" s="37">
        <f t="shared" si="1"/>
        <v>147.39131999999998</v>
      </c>
    </row>
    <row r="57" spans="2:7" ht="24">
      <c r="B57" s="32">
        <v>51</v>
      </c>
      <c r="C57" s="7" t="s">
        <v>209</v>
      </c>
      <c r="D57" s="7" t="s">
        <v>187</v>
      </c>
      <c r="E57" s="12">
        <v>8.5833333399999994</v>
      </c>
      <c r="F57" s="14">
        <v>273.26560000000001</v>
      </c>
      <c r="G57" s="37">
        <f t="shared" si="1"/>
        <v>2345.5297351551039</v>
      </c>
    </row>
    <row r="58" spans="2:7">
      <c r="B58" s="32">
        <v>52</v>
      </c>
      <c r="C58" s="7" t="s">
        <v>210</v>
      </c>
      <c r="D58" s="7" t="s">
        <v>211</v>
      </c>
      <c r="E58" s="12">
        <v>8.6947379999999992</v>
      </c>
      <c r="F58" s="14">
        <v>479.02279999999996</v>
      </c>
      <c r="G58" s="37">
        <f t="shared" si="1"/>
        <v>4164.977742026399</v>
      </c>
    </row>
    <row r="59" spans="2:7">
      <c r="B59" s="32">
        <v>53</v>
      </c>
      <c r="C59" s="7" t="s">
        <v>212</v>
      </c>
      <c r="D59" s="7" t="s">
        <v>204</v>
      </c>
      <c r="E59" s="12">
        <v>5</v>
      </c>
      <c r="F59" s="14">
        <v>110.23140000000001</v>
      </c>
      <c r="G59" s="37">
        <f t="shared" si="1"/>
        <v>551.15700000000004</v>
      </c>
    </row>
    <row r="60" spans="2:7">
      <c r="B60" s="32">
        <v>54</v>
      </c>
      <c r="C60" s="7" t="s">
        <v>213</v>
      </c>
      <c r="D60" s="7" t="s">
        <v>204</v>
      </c>
      <c r="E60" s="12">
        <v>5</v>
      </c>
      <c r="F60" s="14">
        <v>167.13479999999998</v>
      </c>
      <c r="G60" s="37">
        <f t="shared" si="1"/>
        <v>835.67399999999998</v>
      </c>
    </row>
    <row r="61" spans="2:7">
      <c r="B61" s="32">
        <v>55</v>
      </c>
      <c r="C61" s="7" t="s">
        <v>214</v>
      </c>
      <c r="D61" s="7" t="s">
        <v>189</v>
      </c>
      <c r="E61" s="12">
        <v>2.6732</v>
      </c>
      <c r="F61" s="14">
        <v>83.183599999999998</v>
      </c>
      <c r="G61" s="37">
        <f t="shared" si="1"/>
        <v>222.36639951999999</v>
      </c>
    </row>
    <row r="62" spans="2:7">
      <c r="B62" s="32">
        <v>56</v>
      </c>
      <c r="C62" s="7" t="s">
        <v>215</v>
      </c>
      <c r="D62" s="7" t="s">
        <v>216</v>
      </c>
      <c r="E62" s="12">
        <v>51</v>
      </c>
      <c r="F62" s="14">
        <v>15.6045</v>
      </c>
      <c r="G62" s="37">
        <f t="shared" si="1"/>
        <v>795.82949999999994</v>
      </c>
    </row>
    <row r="63" spans="2:7">
      <c r="B63" s="80" t="s">
        <v>180</v>
      </c>
      <c r="C63" s="81"/>
      <c r="D63" s="81"/>
      <c r="E63" s="81"/>
      <c r="F63" s="82"/>
      <c r="G63" s="38">
        <f>SUM(G36:G62)</f>
        <v>37481.38411266356</v>
      </c>
    </row>
    <row r="64" spans="2:7" ht="16.5">
      <c r="B64" s="84" t="s">
        <v>217</v>
      </c>
      <c r="C64" s="84"/>
      <c r="D64" s="84"/>
      <c r="E64" s="84"/>
      <c r="F64" s="84"/>
      <c r="G64" s="84"/>
    </row>
    <row r="65" spans="2:7">
      <c r="B65" s="31">
        <v>57</v>
      </c>
      <c r="C65" s="33" t="s">
        <v>218</v>
      </c>
      <c r="D65" s="33" t="s">
        <v>204</v>
      </c>
      <c r="E65" s="34">
        <v>0.21934003999999999</v>
      </c>
      <c r="F65" s="35">
        <v>0</v>
      </c>
      <c r="G65" s="36">
        <f t="shared" ref="G65:G73" si="2">E65*F65</f>
        <v>0</v>
      </c>
    </row>
    <row r="66" spans="2:7">
      <c r="B66" s="32">
        <v>58</v>
      </c>
      <c r="C66" s="7" t="s">
        <v>219</v>
      </c>
      <c r="D66" s="7" t="s">
        <v>204</v>
      </c>
      <c r="E66" s="12">
        <v>0.78720000000000001</v>
      </c>
      <c r="F66" s="14">
        <v>0</v>
      </c>
      <c r="G66" s="37">
        <f t="shared" si="2"/>
        <v>0</v>
      </c>
    </row>
    <row r="67" spans="2:7">
      <c r="B67" s="32">
        <v>59</v>
      </c>
      <c r="C67" s="7" t="s">
        <v>220</v>
      </c>
      <c r="D67" s="7" t="s">
        <v>204</v>
      </c>
      <c r="E67" s="12">
        <v>6.1250000000000002E-3</v>
      </c>
      <c r="F67" s="14">
        <v>0</v>
      </c>
      <c r="G67" s="37">
        <f t="shared" si="2"/>
        <v>0</v>
      </c>
    </row>
    <row r="68" spans="2:7">
      <c r="B68" s="32">
        <v>60</v>
      </c>
      <c r="C68" s="7" t="s">
        <v>221</v>
      </c>
      <c r="D68" s="7" t="s">
        <v>204</v>
      </c>
      <c r="E68" s="12">
        <v>0.14161000000000001</v>
      </c>
      <c r="F68" s="14">
        <v>0</v>
      </c>
      <c r="G68" s="37">
        <f t="shared" si="2"/>
        <v>0</v>
      </c>
    </row>
    <row r="69" spans="2:7">
      <c r="B69" s="32">
        <v>61</v>
      </c>
      <c r="C69" s="7" t="s">
        <v>222</v>
      </c>
      <c r="D69" s="7" t="s">
        <v>204</v>
      </c>
      <c r="E69" s="12">
        <v>42.019632999999999</v>
      </c>
      <c r="F69" s="14">
        <v>0</v>
      </c>
      <c r="G69" s="37">
        <f t="shared" si="2"/>
        <v>0</v>
      </c>
    </row>
    <row r="70" spans="2:7">
      <c r="B70" s="32">
        <v>62</v>
      </c>
      <c r="C70" s="7" t="s">
        <v>223</v>
      </c>
      <c r="D70" s="7" t="s">
        <v>204</v>
      </c>
      <c r="E70" s="12">
        <v>0.28454000000000002</v>
      </c>
      <c r="F70" s="14">
        <v>0</v>
      </c>
      <c r="G70" s="37">
        <f t="shared" si="2"/>
        <v>0</v>
      </c>
    </row>
    <row r="71" spans="2:7">
      <c r="B71" s="32">
        <v>63</v>
      </c>
      <c r="C71" s="7" t="s">
        <v>224</v>
      </c>
      <c r="D71" s="7" t="s">
        <v>204</v>
      </c>
      <c r="E71" s="12">
        <v>3.2800000000000003E-2</v>
      </c>
      <c r="F71" s="14">
        <v>0</v>
      </c>
      <c r="G71" s="37">
        <f t="shared" si="2"/>
        <v>0</v>
      </c>
    </row>
    <row r="72" spans="2:7">
      <c r="B72" s="32">
        <v>64</v>
      </c>
      <c r="C72" s="7" t="s">
        <v>225</v>
      </c>
      <c r="D72" s="7" t="s">
        <v>204</v>
      </c>
      <c r="E72" s="12">
        <v>0.15356</v>
      </c>
      <c r="F72" s="14">
        <v>0</v>
      </c>
      <c r="G72" s="37">
        <f t="shared" si="2"/>
        <v>0</v>
      </c>
    </row>
    <row r="73" spans="2:7">
      <c r="B73" s="32">
        <v>65</v>
      </c>
      <c r="C73" s="7" t="s">
        <v>226</v>
      </c>
      <c r="D73" s="7" t="s">
        <v>204</v>
      </c>
      <c r="E73" s="12">
        <v>0.15371638000000001</v>
      </c>
      <c r="F73" s="14">
        <v>0</v>
      </c>
      <c r="G73" s="37">
        <f t="shared" si="2"/>
        <v>0</v>
      </c>
    </row>
    <row r="74" spans="2:7">
      <c r="B74" s="80" t="s">
        <v>180</v>
      </c>
      <c r="C74" s="81"/>
      <c r="D74" s="81"/>
      <c r="E74" s="81"/>
      <c r="F74" s="82"/>
      <c r="G74" s="38">
        <f>SUM(G65:G73)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74:F74"/>
    <mergeCell ref="B1:G1"/>
    <mergeCell ref="B4:G4"/>
    <mergeCell ref="B34:F34"/>
    <mergeCell ref="B35:G35"/>
    <mergeCell ref="B63:F63"/>
    <mergeCell ref="B64:G64"/>
  </mergeCells>
  <pageMargins left="0.35" right="0.35" top="0.35" bottom="0.35" header="0.3" footer="0.3"/>
  <pageSetup paperSize="9" fitToHeight="0" orientation="portrait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Работы</vt:lpstr>
      <vt:lpstr>Ресурсы</vt:lpstr>
      <vt:lpstr>Работы!Заголовки_для_печати</vt:lpstr>
      <vt:lpstr>Ресурсы!Заголовки_для_печати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User</cp:lastModifiedBy>
  <cp:lastPrinted>2021-05-14T05:57:35Z</cp:lastPrinted>
  <dcterms:created xsi:type="dcterms:W3CDTF">2021-05-14T08:54:20Z</dcterms:created>
  <dcterms:modified xsi:type="dcterms:W3CDTF">2021-05-14T08:45:04Z</dcterms:modified>
  <cp:category>ÑÐ¼ÐµÑ‚Ð°</cp:category>
</cp:coreProperties>
</file>